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ENCIA\"/>
    </mc:Choice>
  </mc:AlternateContent>
  <workbookProtection workbookAlgorithmName="SHA-512" workbookHashValue="6r3lpOYzBVAdS3R7h2MmyPxweliZMMkMUls+v2o5LCDKriBD0qKIK0Vwcpr0fETwI71vNNhpssy8cuHsmh23rA==" workbookSaltValue="CbwM7dsDdMaPukWv1yJ4d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BF17" i="8" s="1"/>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AJ32" i="20"/>
  <c r="G30" i="14"/>
  <c r="G23" i="14"/>
  <c r="U18" i="11"/>
  <c r="AX32" i="20"/>
  <c r="Y32" i="20"/>
  <c r="L32" i="20"/>
  <c r="AG32" i="20"/>
  <c r="H32" i="20"/>
  <c r="T32" i="21"/>
  <c r="F32" i="20"/>
  <c r="AF32" i="20"/>
  <c r="G26" i="14"/>
  <c r="S32" i="20"/>
  <c r="K32" i="20"/>
  <c r="AQ32" i="21"/>
  <c r="O17" i="11"/>
  <c r="BF16" i="8" l="1"/>
  <c r="F16" i="11"/>
  <c r="AQ16" i="11" s="1"/>
  <c r="R13" i="17"/>
  <c r="P13" i="14"/>
  <c r="BG17" i="13"/>
  <c r="R8" i="9"/>
  <c r="S10" i="14" s="1"/>
  <c r="V10" i="14" s="1"/>
  <c r="T9" i="11"/>
  <c r="BH11" i="16"/>
  <c r="S20" i="14"/>
  <c r="V20" i="14" s="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J13" i="10" s="1"/>
  <c r="L13" i="10" s="1"/>
  <c r="F19" i="2"/>
  <c r="F12" i="2"/>
  <c r="BF9" i="8"/>
  <c r="BE9" i="8"/>
  <c r="I9" i="7" s="1"/>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AH32" i="20"/>
  <c r="T32" i="20"/>
  <c r="AA32" i="20"/>
  <c r="AN32" i="20"/>
  <c r="AD32" i="20"/>
  <c r="AC32" i="20"/>
  <c r="AV32" i="20"/>
  <c r="O10" i="11"/>
  <c r="AP32" i="20"/>
  <c r="U17" i="11"/>
  <c r="W32" i="21"/>
  <c r="AQ32" i="20"/>
  <c r="N32" i="20"/>
  <c r="AO32" i="20"/>
  <c r="AL32" i="20"/>
  <c r="X32" i="20"/>
  <c r="I9" i="12" l="1"/>
  <c r="I16" i="12"/>
  <c r="BF23" i="13"/>
  <c r="BL9" i="11"/>
  <c r="BH21" i="16"/>
  <c r="BF11" i="11"/>
  <c r="X12" i="21"/>
  <c r="T28" i="11"/>
  <c r="T19" i="11"/>
  <c r="R28" i="14"/>
  <c r="R18" i="14"/>
  <c r="S28" i="14"/>
  <c r="V28" i="14" s="1"/>
  <c r="S21" i="14"/>
  <c r="V21" i="14" s="1"/>
  <c r="AP17" i="20"/>
  <c r="BL19" i="11"/>
  <c r="BJ22" i="11"/>
  <c r="BJ18" i="11"/>
  <c r="BG10" i="11"/>
  <c r="BM17" i="11"/>
  <c r="V11" i="16"/>
  <c r="BF21" i="11"/>
  <c r="V25" i="11"/>
  <c r="BF17" i="11"/>
  <c r="BF10" i="11"/>
  <c r="BL12" i="11"/>
  <c r="BK21" i="11"/>
  <c r="V11" i="11"/>
  <c r="BI25" i="11"/>
  <c r="BM12" i="11"/>
  <c r="V13" i="11"/>
  <c r="BH9" i="16"/>
  <c r="V16" i="11"/>
  <c r="BF13" i="11"/>
  <c r="BG25" i="11"/>
  <c r="BH16" i="16"/>
  <c r="Q18" i="20"/>
  <c r="Q23" i="20" s="1"/>
  <c r="BF28" i="11"/>
  <c r="BF18" i="11"/>
  <c r="BG20" i="11"/>
  <c r="BG22" i="11"/>
  <c r="BK29" i="11"/>
  <c r="AZ19" i="11"/>
  <c r="V12" i="21"/>
  <c r="V14" i="21" s="1"/>
  <c r="V31" i="21" s="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BI19" i="11"/>
  <c r="AP22" i="20"/>
  <c r="BG16" i="11"/>
  <c r="BH13" i="11"/>
  <c r="BL13" i="11"/>
  <c r="BH18" i="11"/>
  <c r="BM16" i="11"/>
  <c r="AO28" i="17"/>
  <c r="BJ25" i="11"/>
  <c r="AZ16" i="11"/>
  <c r="AZ23" i="11" s="1"/>
  <c r="BU16" i="17"/>
  <c r="BW19" i="20"/>
  <c r="X20" i="16"/>
  <c r="BU10" i="17"/>
  <c r="BW25" i="20"/>
  <c r="BU22" i="17"/>
  <c r="U13" i="17"/>
  <c r="BU20" i="17"/>
  <c r="BW29" i="20"/>
  <c r="BW22" i="20"/>
  <c r="BV29" i="16"/>
  <c r="BW21" i="20"/>
  <c r="BV9" i="16"/>
  <c r="AZ17" i="11"/>
  <c r="BG12" i="11"/>
  <c r="BI20" i="11"/>
  <c r="BI9" i="11"/>
  <c r="BL28" i="11"/>
  <c r="BL10" i="11"/>
  <c r="BH10" i="16"/>
  <c r="BH11" i="11"/>
  <c r="BM9" i="11"/>
  <c r="BJ17" i="11"/>
  <c r="BK22" i="11"/>
  <c r="BL17" i="11"/>
  <c r="BH22" i="11"/>
  <c r="X12" i="17"/>
  <c r="L22" i="2"/>
  <c r="X22" i="16"/>
  <c r="S16" i="17"/>
  <c r="L12" i="2"/>
  <c r="X10" i="21"/>
  <c r="V10" i="16"/>
  <c r="X13" i="16"/>
  <c r="V9" i="11"/>
  <c r="BJ16" i="11"/>
  <c r="AP16" i="20"/>
  <c r="R25" i="14"/>
  <c r="V20" i="11"/>
  <c r="BL25" i="11"/>
  <c r="Q25" i="11" s="1"/>
  <c r="BG19" i="11"/>
  <c r="AZ9" i="11"/>
  <c r="BL29" i="11"/>
  <c r="T16" i="16"/>
  <c r="BW20" i="20"/>
  <c r="BV19" i="16"/>
  <c r="BV18" i="16"/>
  <c r="BW18" i="20"/>
  <c r="BV12" i="16"/>
  <c r="BW12" i="20"/>
  <c r="BV16" i="16"/>
  <c r="BW16" i="20"/>
  <c r="U10" i="17"/>
  <c r="BV10" i="16"/>
  <c r="BU18" i="17"/>
  <c r="V12" i="16"/>
  <c r="BU12" i="17"/>
  <c r="S28" i="17"/>
  <c r="T16" i="11"/>
  <c r="Q18" i="17"/>
  <c r="BH10" i="11"/>
  <c r="AQ10" i="21"/>
  <c r="AO29" i="17"/>
  <c r="S10" i="17"/>
  <c r="BI29" i="11"/>
  <c r="BG17" i="11"/>
  <c r="BM21" i="11"/>
  <c r="AO25" i="17"/>
  <c r="BH25" i="11"/>
  <c r="BK10" i="11"/>
  <c r="BI21" i="11"/>
  <c r="L10" i="2"/>
  <c r="L28" i="2"/>
  <c r="X21" i="20"/>
  <c r="L16" i="2"/>
  <c r="L17" i="2"/>
  <c r="L18" i="2"/>
  <c r="X16" i="16"/>
  <c r="X23" i="16" s="1"/>
  <c r="AA11" i="16"/>
  <c r="L9" i="2"/>
  <c r="V25" i="16"/>
  <c r="S18" i="17"/>
  <c r="BH12" i="16"/>
  <c r="S17" i="17"/>
  <c r="X19" i="16"/>
  <c r="L20" i="2"/>
  <c r="U9" i="17"/>
  <c r="U31" i="17" s="1"/>
  <c r="V9" i="16"/>
  <c r="T22" i="11"/>
  <c r="T12" i="11"/>
  <c r="R22" i="14"/>
  <c r="R11" i="14"/>
  <c r="S18" i="14"/>
  <c r="V18" i="14" s="1"/>
  <c r="S13" i="14"/>
  <c r="V13"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O32" i="20"/>
  <c r="AV32" i="21"/>
  <c r="O12" i="11"/>
  <c r="H32" i="17"/>
  <c r="AW32" i="11"/>
  <c r="E31" i="2" l="1"/>
  <c r="BJ23" i="11"/>
  <c r="AZ26" i="11"/>
  <c r="AZ31" i="11"/>
  <c r="AZ14" i="11"/>
  <c r="R14" i="21"/>
  <c r="R31" i="21" s="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AY32" i="2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I32" i="21"/>
  <c r="U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<sst xmlns="http://schemas.openxmlformats.org/spreadsheetml/2006/main" count="2682" uniqueCount="1193">
  <si>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</si>
  <si>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</si>
  <si>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</si>
  <si>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</si>
  <si>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</si>
  <si>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</si>
  <si>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</si>
  <si>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</si>
  <si>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</si>
  <si>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</si>
  <si>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</si>
  <si>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</si>
  <si>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</si>
  <si>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</si>
  <si>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</si>
  <si>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</si>
  <si>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</si>
  <si>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</si>
  <si>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</si>
  <si>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</si>
  <si>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</si>
  <si>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</si>
  <si>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</si>
  <si>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</si>
  <si>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</si>
  <si>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</si>
  <si>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</si>
  <si>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</si>
  <si>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</si>
  <si>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</si>
  <si>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</si>
  <si>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</si>
  <si>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</si>
  <si>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</si>
  <si>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</si>
  <si>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</si>
  <si>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</si>
  <si>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</si>
  <si>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</si>
  <si>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</si>
  <si>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</si>
  <si>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</si>
  <si>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</si>
  <si>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</si>
  <si>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</si>
  <si>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</si>
  <si>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</si>
  <si>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</si>
  <si>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</si>
  <si>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</si>
  <si>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</si>
  <si>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</si>
  <si>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</si>
  <si>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</si>
  <si>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</si>
  <si>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</si>
  <si>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</si>
  <si>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</si>
  <si>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</si>
  <si>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</si>
  <si>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</si>
  <si>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</si>
  <si>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</si>
  <si>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</si>
  <si>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</si>
  <si>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</si>
  <si>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</si>
  <si>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</si>
  <si>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</si>
  <si>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</si>
  <si>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</si>
  <si>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</si>
  <si>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</si>
  <si>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</si>
  <si>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</si>
  <si>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</si>
  <si>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</si>
  <si>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</si>
  <si>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</si>
  <si>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</si>
  <si>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</si>
  <si>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</si>
  <si>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</si>
  <si>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</si>
  <si>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</si>
  <si>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</si>
  <si>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</si>
  <si>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</si>
  <si>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</si>
  <si>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</si>
  <si>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</si>
  <si>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</si>
  <si>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</si>
  <si>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</si>
  <si>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</si>
  <si>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</si>
  <si>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</si>
  <si>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</si>
  <si>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</si>
  <si>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</si>
  <si>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</si>
  <si>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</si>
  <si>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</si>
  <si>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</si>
  <si>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</si>
  <si>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</si>
  <si>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</si>
  <si>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</si>
  <si>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</si>
  <si>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</si>
  <si>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</si>
  <si>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</si>
  <si>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</si>
  <si>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</si>
  <si>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</si>
  <si>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</si>
  <si>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</si>
  <si>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</si>
  <si>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</si>
  <si>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</si>
  <si>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</si>
  <si>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</si>
  <si>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</si>
  <si>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</si>
  <si>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</si>
  <si>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</si>
  <si>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</si>
  <si>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</si>
  <si>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</si>
  <si>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</si>
  <si>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</si>
  <si>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</si>
  <si>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</si>
  <si>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</si>
  <si>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</si>
  <si>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</si>
  <si>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</si>
  <si>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</si>
  <si>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</si>
  <si>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</si>
  <si>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</si>
  <si>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</si>
  <si>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</si>
  <si>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</si>
  <si>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</si>
  <si>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</si>
  <si>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</si>
  <si>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</si>
  <si>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</si>
  <si>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</si>
  <si>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</si>
  <si>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</si>
  <si>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</si>
  <si>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</si>
  <si>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</si>
  <si>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</si>
  <si>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</si>
  <si>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</si>
  <si>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</si>
  <si>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</si>
  <si>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</si>
  <si>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</si>
  <si>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</si>
  <si>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</si>
  <si>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</si>
  <si>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</si>
  <si>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</si>
  <si>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</si>
  <si>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</si>
  <si>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</si>
  <si>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</si>
  <si>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</si>
  <si>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</si>
  <si>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</si>
  <si>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</si>
  <si>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</si>
  <si>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</si>
  <si>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</si>
  <si>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</si>
  <si>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</si>
  <si>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</si>
  <si>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</si>
  <si>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</si>
  <si>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</si>
  <si>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</si>
  <si>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</si>
  <si>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</si>
  <si>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</si>
  <si>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</si>
  <si>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</si>
  <si>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</si>
  <si>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</si>
  <si>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</si>
  <si>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</si>
  <si>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</si>
  <si>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</si>
  <si>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</si>
  <si>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</si>
  <si>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</si>
  <si>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</si>
  <si>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</si>
  <si>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</si>
  <si>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</si>
  <si>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</si>
  <si>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</si>
  <si>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</si>
  <si>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</si>
  <si>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</si>
  <si>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</si>
  <si>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</si>
  <si>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</si>
  <si>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</si>
  <si>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</si>
  <si>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</si>
  <si>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</si>
  <si>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</si>
  <si>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</si>
  <si>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</si>
  <si>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</si>
  <si>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</si>
  <si>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</si>
  <si>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</si>
  <si>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</si>
  <si>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</si>
  <si>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</si>
  <si>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</si>
  <si>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</si>
  <si>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</si>
  <si>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</si>
  <si>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</si>
  <si>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</si>
  <si>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</si>
  <si>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</si>
  <si>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</si>
  <si>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</si>
  <si>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</si>
  <si>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</si>
  <si>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</si>
  <si>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</si>
  <si>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</si>
  <si>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</si>
  <si>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</si>
  <si>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</si>
  <si>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</si>
  <si>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</si>
  <si>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</si>
  <si>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</si>
  <si>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</si>
  <si>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</si>
  <si>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</si>
  <si>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</si>
  <si>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</si>
  <si>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</si>
  <si>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</si>
  <si>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</si>
  <si>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</si>
  <si>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</si>
  <si>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</si>
  <si>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</si>
  <si>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</si>
  <si>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</si>
  <si>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</si>
  <si>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</si>
  <si>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</si>
  <si>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</si>
  <si>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</si>
  <si>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</si>
  <si>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</si>
  <si>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</si>
  <si>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</si>
  <si>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</si>
  <si>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</si>
  <si>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</si>
  <si>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</si>
  <si>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</si>
  <si>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</si>
  <si>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</si>
  <si>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</si>
  <si>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</si>
  <si>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</si>
  <si>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</si>
  <si>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</si>
  <si>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</si>
  <si>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</si>
  <si>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</si>
  <si>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</si>
  <si>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</si>
  <si>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</si>
  <si>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</si>
  <si>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</si>
  <si>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</si>
  <si>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</si>
  <si>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</si>
  <si>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</si>
  <si>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</si>
  <si>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</si>
  <si>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</si>
  <si>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</si>
  <si>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</si>
  <si>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</si>
  <si>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</si>
  <si>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</si>
  <si>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</si>
  <si>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</si>
  <si>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</si>
  <si>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</si>
  <si>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</si>
  <si>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</si>
  <si>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</si>
  <si>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</si>
  <si>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</si>
  <si>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</si>
  <si>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</si>
  <si>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</si>
  <si>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</si>
  <si>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</si>
  <si>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</si>
  <si>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</si>
  <si>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</si>
  <si>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</si>
  <si>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</si>
  <si>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</si>
  <si>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</si>
  <si>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</si>
  <si>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</si>
  <si>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</si>
  <si>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</si>
  <si>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</si>
  <si>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</si>
  <si>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</si>
  <si>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</si>
  <si>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</si>
  <si>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</si>
  <si>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</si>
  <si>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</si>
  <si>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</si>
  <si>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</si>
  <si>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</si>
  <si>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</si>
  <si>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</si>
  <si>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</si>
  <si>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</si>
  <si>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</si>
  <si>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</si>
  <si>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</si>
  <si>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</si>
  <si>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</si>
  <si>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</si>
  <si>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</si>
  <si>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</si>
  <si>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</si>
  <si>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</si>
  <si>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</si>
  <si>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</si>
  <si>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</si>
  <si>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</si>
  <si>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</si>
  <si>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</si>
  <si>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</si>
  <si>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</si>
  <si>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</si>
  <si>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</si>
  <si>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</si>
  <si>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</si>
  <si>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</si>
  <si>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</si>
  <si>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</si>
  <si>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</si>
  <si>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</si>
  <si>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</si>
  <si>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</si>
  <si>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</si>
  <si>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</si>
  <si>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</si>
  <si>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</si>
  <si>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</si>
  <si>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</si>
  <si>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</si>
  <si>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</si>
  <si>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</si>
  <si>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</si>
  <si>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</si>
  <si>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</si>
  <si>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</si>
  <si>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</si>
  <si>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</si>
  <si>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</si>
  <si>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</si>
  <si>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</si>
  <si>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</si>
  <si>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</si>
  <si>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</si>
  <si>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</si>
  <si>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</si>
  <si>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</si>
  <si>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</si>
  <si>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</si>
  <si>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</si>
  <si>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</si>
  <si>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</si>
  <si>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</si>
  <si>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</si>
  <si>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</si>
  <si>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</si>
  <si>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</si>
  <si>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</si>
  <si>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</si>
  <si>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</si>
  <si>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</si>
  <si>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</si>
  <si>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</si>
  <si>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</si>
  <si>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</si>
  <si>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</si>
  <si>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</si>
  <si>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</si>
  <si>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</si>
  <si>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</si>
  <si>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</si>
  <si>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</si>
  <si>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</si>
  <si>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</si>
  <si>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</si>
  <si>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</si>
  <si>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</si>
  <si>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</si>
  <si>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</si>
  <si>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</si>
  <si>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</si>
  <si>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</si>
  <si>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</si>
  <si>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</si>
  <si>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</si>
  <si>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</si>
  <si>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</si>
  <si>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</si>
  <si>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</si>
  <si>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</si>
  <si>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</si>
  <si>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</si>
  <si>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</si>
  <si>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</si>
  <si>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</si>
  <si>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</si>
  <si>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</si>
  <si>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</si>
  <si>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</si>
  <si>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</si>
  <si>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</si>
  <si>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</si>
  <si>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</si>
  <si>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</si>
  <si>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</si>
  <si>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</si>
  <si>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</si>
  <si>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</si>
  <si>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</si>
  <si>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</si>
  <si>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</si>
  <si>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</si>
  <si>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</si>
  <si>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</si>
  <si>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</si>
  <si>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</si>
  <si>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</si>
  <si>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</si>
  <si>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</si>
  <si>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</si>
  <si>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</si>
  <si>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</si>
  <si>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</si>
  <si>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</si>
  <si>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</si>
  <si>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</si>
  <si>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</si>
  <si>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</si>
  <si>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</si>
  <si>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</si>
  <si>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</si>
  <si>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</si>
  <si>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</si>
  <si>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</si>
  <si>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</si>
  <si>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</si>
  <si>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</si>
  <si>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</si>
  <si>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</si>
  <si>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</si>
  <si>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</si>
  <si>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</si>
  <si>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</si>
  <si>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</si>
  <si>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</si>
  <si>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</si>
  <si>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</si>
  <si>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</si>
  <si>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</si>
  <si>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</si>
  <si>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</si>
  <si>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</si>
  <si>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</si>
  <si>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</si>
  <si>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</si>
  <si>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</si>
  <si>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</si>
  <si>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</si>
  <si>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</si>
  <si>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</si>
  <si>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</si>
  <si>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</si>
  <si>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</si>
  <si>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</si>
  <si>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</si>
  <si>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</si>
  <si>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</si>
  <si>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</si>
  <si>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</si>
  <si>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</si>
  <si>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</si>
  <si>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</si>
  <si>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</si>
  <si>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</si>
  <si>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</si>
  <si>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</si>
  <si>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</si>
  <si>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</si>
  <si>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</si>
  <si>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</si>
  <si>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</si>
  <si>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</si>
  <si>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</si>
  <si>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</si>
  <si>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</si>
  <si>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</si>
  <si>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</si>
  <si>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</si>
  <si>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</si>
  <si>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</si>
  <si>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</si>
  <si>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</si>
  <si>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</si>
  <si>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</si>
  <si>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</si>
  <si>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</si>
  <si>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</si>
  <si>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</si>
  <si>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</si>
  <si>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</si>
  <si>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</si>
  <si>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</si>
  <si>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</si>
  <si>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</si>
  <si>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</si>
  <si>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</si>
  <si>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</si>
  <si>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</si>
  <si>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</si>
  <si>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</si>
  <si>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</si>
  <si>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</si>
  <si>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</si>
  <si>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</si>
  <si>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</si>
  <si>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</si>
  <si>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</si>
  <si>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</si>
  <si>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</si>
  <si>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</si>
  <si>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</si>
  <si>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</si>
  <si>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</si>
  <si>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</si>
  <si>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</si>
  <si>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</si>
  <si>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</si>
  <si>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</si>
  <si>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</si>
  <si>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</si>
  <si>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</si>
  <si>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</si>
  <si>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</si>
  <si>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</si>
  <si>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</si>
  <si>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</si>
  <si>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</si>
  <si>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</si>
  <si>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</si>
  <si>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</si>
  <si>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</si>
  <si>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</si>
  <si>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</si>
  <si>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</si>
  <si>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</si>
  <si>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</si>
  <si>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</si>
  <si>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</si>
  <si>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</si>
  <si>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</si>
  <si>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</si>
  <si>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</si>
  <si>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</si>
  <si>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</si>
  <si>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</si>
  <si>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</si>
  <si>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</si>
  <si>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</si>
  <si>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</si>
  <si>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</si>
  <si>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</si>
  <si>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</si>
  <si>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</si>
  <si>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</si>
  <si>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</si>
  <si>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</si>
  <si>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</si>
  <si>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</si>
  <si>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</si>
  <si>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</si>
  <si>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</si>
  <si>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</si>
  <si>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</si>
  <si>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</si>
  <si>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</si>
  <si>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</si>
  <si>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</si>
  <si>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</si>
  <si>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</si>
  <si>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</si>
  <si>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</si>
  <si>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</si>
  <si>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</si>
  <si>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</si>
  <si>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</si>
  <si>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</si>
  <si>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</si>
  <si>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</si>
  <si>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</si>
  <si>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</si>
  <si>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</si>
  <si>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</si>
  <si>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</si>
  <si>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</si>
  <si>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</si>
  <si>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</si>
  <si>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</si>
  <si>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</si>
  <si>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</si>
  <si>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</si>
  <si>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</si>
  <si>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</si>
  <si>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</si>
  <si>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</si>
  <si>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</si>
  <si>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</si>
  <si>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</si>
  <si>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</si>
  <si>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</si>
  <si>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</si>
  <si>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</si>
  <si>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</si>
  <si>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</si>
  <si>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</si>
  <si>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</si>
  <si>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</si>
  <si>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</si>
  <si>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</si>
  <si>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</si>
  <si>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</si>
  <si>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</si>
  <si>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</si>
  <si>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</si>
  <si>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</si>
  <si>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</si>
  <si>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</si>
  <si>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</si>
  <si>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</si>
  <si>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</si>
  <si>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</si>
  <si>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</si>
  <si>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</si>
  <si>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</si>
  <si>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</si>
  <si>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</si>
  <si>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</si>
  <si>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</si>
  <si>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</si>
  <si>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</si>
  <si>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</si>
  <si>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</si>
  <si>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</si>
  <si>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</si>
  <si>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</si>
  <si>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</si>
  <si>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</si>
  <si>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</si>
  <si>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</si>
  <si>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</si>
  <si>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</si>
  <si>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</si>
  <si>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</si>
  <si>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</si>
  <si>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</si>
  <si>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</si>
  <si>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</si>
  <si>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</si>
  <si>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</si>
  <si>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</si>
  <si>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</si>
  <si>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</si>
  <si>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</si>
  <si>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</si>
  <si>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</si>
  <si>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</si>
  <si>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</si>
  <si>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</si>
  <si>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</si>
  <si>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</si>
  <si>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</si>
  <si>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</si>
  <si>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</si>
  <si>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</si>
  <si>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</si>
  <si>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</si>
  <si>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</si>
  <si>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</si>
  <si>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</si>
  <si>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</si>
  <si>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</si>
  <si>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</si>
  <si>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</si>
  <si>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</si>
  <si>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</si>
  <si>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</si>
  <si>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</si>
  <si>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</si>
  <si>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</si>
  <si>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</si>
  <si>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</si>
  <si>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</si>
  <si>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</si>
  <si>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</si>
  <si>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</si>
  <si>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</si>
  <si>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</si>
  <si>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</si>
  <si>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</si>
  <si>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</si>
  <si>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</si>
  <si>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</si>
  <si>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</si>
  <si>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</si>
  <si>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</si>
  <si>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</si>
  <si>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</si>
  <si>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</si>
  <si>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</si>
  <si>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</si>
  <si>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</si>
  <si>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</si>
  <si>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</si>
  <si>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</si>
  <si>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</si>
  <si>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</si>
  <si>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</si>
  <si>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</si>
  <si>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</si>
  <si>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</si>
  <si>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</si>
  <si>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</si>
  <si>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</si>
  <si>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</si>
  <si>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</si>
  <si>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</si>
  <si>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</si>
  <si>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</si>
  <si>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</si>
  <si>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</si>
  <si>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</si>
  <si>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</si>
  <si>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</si>
  <si>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</si>
  <si>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</si>
  <si>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</si>
  <si>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</si>
  <si>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</si>
  <si>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</si>
  <si>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</si>
  <si>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</si>
  <si>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</si>
  <si>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</si>
  <si>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</si>
  <si>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</si>
  <si>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</si>
  <si>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</si>
  <si>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</si>
  <si>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</si>
  <si>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</si>
  <si>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</si>
  <si>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</si>
  <si>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</si>
  <si>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</si>
  <si>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</si>
  <si>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</si>
  <si>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</si>
  <si>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</si>
  <si>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</si>
  <si>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</si>
  <si>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</si>
  <si>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</si>
  <si>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</si>
  <si>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</si>
  <si>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</si>
  <si>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</si>
  <si>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</si>
  <si>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</si>
  <si>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</si>
  <si>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</si>
  <si>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</si>
  <si>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</si>
  <si>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</si>
  <si>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</si>
  <si>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</si>
  <si>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</si>
  <si>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</si>
  <si>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</si>
  <si>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</si>
  <si>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</si>
  <si>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</si>
  <si>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</si>
  <si>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</si>
  <si>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</si>
  <si>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</si>
  <si>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</si>
  <si>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</si>
  <si>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</si>
  <si>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</si>
  <si>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</si>
  <si>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</si>
  <si>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</si>
  <si>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</si>
  <si>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</si>
  <si>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</si>
  <si>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</si>
  <si>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</si>
  <si>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</si>
  <si>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</si>
  <si>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</si>
  <si>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</si>
  <si>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</si>
  <si>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</si>
  <si>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</si>
  <si>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</si>
  <si>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</si>
  <si>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</si>
  <si>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</si>
  <si>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</si>
  <si>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</si>
  <si>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</si>
  <si>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</si>
  <si>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</si>
  <si>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</si>
  <si>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</si>
  <si>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</si>
  <si>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</si>
  <si>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</si>
  <si>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</si>
  <si>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</si>
  <si>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</si>
  <si>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</si>
  <si>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</si>
  <si>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</si>
  <si>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</si>
  <si>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</si>
  <si>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</si>
  <si>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</si>
  <si>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</si>
  <si>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</si>
  <si>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</si>
  <si>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</si>
  <si>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</si>
  <si>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</si>
  <si>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</si>
  <si>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</si>
  <si>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</si>
  <si>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</si>
  <si>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</si>
  <si>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</si>
  <si>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</si>
  <si>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</si>
  <si>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</si>
  <si>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</si>
  <si>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</si>
  <si>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</si>
  <si>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</si>
  <si>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</si>
  <si>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</si>
  <si>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</si>
  <si>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</si>
  <si>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</si>
  <si>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</si>
  <si>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</si>
  <si>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</si>
  <si>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</si>
  <si>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</si>
  <si>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</si>
  <si>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</si>
  <si>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</si>
  <si>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</si>
  <si>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</si>
  <si>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</si>
  <si>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</si>
  <si>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</si>
  <si>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</si>
  <si>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</si>
  <si>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</si>
  <si>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</si>
  <si>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</si>
  <si>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</si>
  <si>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</si>
  <si>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</si>
  <si>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</si>
  <si>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</si>
  <si>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</si>
  <si>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</si>
  <si>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</si>
  <si>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</si>
  <si>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</si>
  <si>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</si>
  <si>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</si>
  <si>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</si>
  <si>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</si>
  <si>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</si>
  <si>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</si>
  <si>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</si>
  <si>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</si>
  <si>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</si>
  <si>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</si>
  <si>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</si>
  <si>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</si>
  <si>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</si>
  <si>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</si>
  <si>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</si>
  <si>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</si>
  <si>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</si>
  <si>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</si>
  <si>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</si>
  <si>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</si>
  <si>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</si>
  <si>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</si>
  <si>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</si>
  <si>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</si>
  <si>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</si>
  <si>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</si>
  <si>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</si>
  <si>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</si>
  <si>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</si>
  <si>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</si>
  <si>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</si>
  <si>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</si>
  <si>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</si>
  <si>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</si>
  <si>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</si>
  <si>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</si>
  <si>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</si>
  <si>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</si>
  <si>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</si>
  <si>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</si>
  <si>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</si>
  <si>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</si>
  <si>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</si>
  <si>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</si>
  <si>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</si>
  <si>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</si>
  <si>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</si>
  <si>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</si>
  <si>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</si>
  <si>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</si>
  <si>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</si>
  <si>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</si>
  <si>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</si>
  <si>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</si>
  <si>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</si>
  <si>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</si>
  <si>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</si>
  <si>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</si>
  <si>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</si>
  <si>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</si>
  <si>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</si>
  <si>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</si>
  <si>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</si>
  <si>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</si>
  <si>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</si>
  <si>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</si>
  <si>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</si>
  <si>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</si>
  <si>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</si>
  <si>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</si>
  <si>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</si>
  <si>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</si>
  <si>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</si>
  <si>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</si>
  <si>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</si>
  <si>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</si>
  <si>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</si>
  <si>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</si>
  <si>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</si>
  <si>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</si>
  <si>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</si>
  <si>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</si>
  <si>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</si>
  <si>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</si>
  <si>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</si>
  <si>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</si>
  <si>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</si>
  <si>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</si>
  <si>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</si>
  <si>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</si>
  <si>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</si>
  <si>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</si>
  <si>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</si>
  <si>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</si>
  <si>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</si>
  <si>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</si>
  <si>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</si>
  <si>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</si>
  <si>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</si>
  <si>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</si>
  <si>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</si>
  <si>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</si>
  <si>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</si>
  <si>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</si>
  <si>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</si>
  <si>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</si>
  <si>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</si>
  <si>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</si>
  <si>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</si>
  <si>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</si>
  <si>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</si>
  <si>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</si>
  <si>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</si>
  <si>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</si>
  <si>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</si>
  <si>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</si>
  <si>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</si>
  <si>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</si>
  <si>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</si>
  <si>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</si>
  <si>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</si>
  <si>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</si>
  <si>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</si>
  <si>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</si>
  <si>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</si>
  <si>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</si>
  <si>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</si>
  <si>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</si>
  <si>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</si>
  <si>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</si>
  <si>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</si>
  <si>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</si>
  <si>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</si>
  <si>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</si>
  <si>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</si>
  <si>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</si>
  <si>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</si>
  <si>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</si>
  <si>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</si>
  <si>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</si>
  <si>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</si>
  <si>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</si>
  <si>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</si>
  <si>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</si>
  <si>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</si>
  <si>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</si>
  <si>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</si>
  <si>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</si>
  <si>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</si>
  <si>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</si>
  <si>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</si>
  <si>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</si>
  <si>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</si>
  <si>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</si>
  <si>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</si>
  <si>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</si>
  <si>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</si>
  <si>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</si>
  <si>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</si>
  <si>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</si>
  <si>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</si>
  <si>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</si>
  <si>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</si>
  <si>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</si>
  <si>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</si>
  <si>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</si>
  <si>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</si>
  <si>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</si>
  <si>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</si>
  <si>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</si>
  <si>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</si>
  <si>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</si>
  <si>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</si>
  <si>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</si>
  <si>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</si>
  <si>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</si>
  <si>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</si>
  <si>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</si>
  <si>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</si>
  <si>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</si>
  <si>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</si>
  <si>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</si>
  <si>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</si>
  <si>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</si>
  <si>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</si>
  <si>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</si>
  <si>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</si>
  <si>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</si>
  <si>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</si>
  <si>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</si>
  <si>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</si>
  <si>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</si>
  <si>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</si>
  <si>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</si>
  <si>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</si>
  <si>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</si>
  <si>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</si>
  <si>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</si>
  <si>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</si>
  <si>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</si>
  <si>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</si>
  <si>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</si>
  <si>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</si>
  <si>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</si>
  <si>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</si>
  <si>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</si>
  <si>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</si>
  <si>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</si>
  <si>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</si>
  <si>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</si>
  <si>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</si>
  <si>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</si>
  <si>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</si>
  <si>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</si>
  <si>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</si>
  <si>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</si>
  <si>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</si>
  <si>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</si>
  <si>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</si>
  <si>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</si>
  <si>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</si>
  <si>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</si>
  <si>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</si>
  <si>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</si>
  <si>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</si>
  <si>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</si>
  <si>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</si>
  <si>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</si>
  <si>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</si>
  <si>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</si>
  <si>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</si>
  <si>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</si>
  <si>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</si>
  <si>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</si>
  <si>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</si>
  <si>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</si>
  <si>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</si>
  <si>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</si>
  <si>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</si>
  <si>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</si>
  <si>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</si>
  <si>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</si>
  <si>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</si>
  <si>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</si>
  <si>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</si>
  <si>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</si>
  <si>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</si>
  <si>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</si>
  <si>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</si>
  <si>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</si>
  <si>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</si>
  <si>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</si>
  <si>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</si>
  <si>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</si>
  <si>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</si>
  <si>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</si>
  <si>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</si>
  <si>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</si>
  <si>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</si>
  <si>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</si>
  <si>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</si>
  <si>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COMUNIDAD VALENCIANA</t>
  </si>
  <si>
    <t>Provincias</t>
  </si>
  <si>
    <t>VALENCIA</t>
  </si>
  <si>
    <t>Resumenes por Partidos Judiciales</t>
  </si>
  <si>
    <t>TORRENT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</si>
</sst>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ih4ajFevB9dStOnuML7L1gbyiC2Wkt6ffdbpH8VzWJxz1DLjeQRLrTEVhu+6M+PIZhEPYtxfbFnZTRfF9H2s8Q==" saltValue="KqZQaOQciBC07OKU7ZnvO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COMUNIDAD VALENCIANA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6</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26.217864923747275</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59</v>
      </c>
      <c r="D10" s="239">
        <f>IF(ISNUMBER(Datos!I10),Datos!I10," - ")</f>
        <v>59</v>
      </c>
      <c r="E10" s="240">
        <f>IF(ISNUMBER(Datos!J10),Datos!J10," - ")</f>
        <v>56</v>
      </c>
      <c r="F10" s="240">
        <f>IF(ISNUMBER(Datos!K10),Datos!K10," - ")</f>
        <v>25</v>
      </c>
      <c r="G10" s="1390" t="str">
        <f>IF(Datos!E10&lt;&gt;"",Datos!E10,Datos!D10)</f>
        <v>37</v>
      </c>
      <c r="H10" s="241">
        <f>IF(ISNUMBER(Datos!L10),Datos!L10," - ")</f>
        <v>90</v>
      </c>
      <c r="I10" s="1400" t="str">
        <f>IF(ISNUMBER(Datos!AS10/Datos!BM10),Datos!AS10/Datos!BM10," - ")</f>
        <v xml:space="preserve"> - </v>
      </c>
      <c r="J10" s="1401">
        <f>IF(ISNUMBER(Datos!BY10/Datos!CN10),Datos!BY10/Datos!CN10," - ")</f>
        <v>0</v>
      </c>
      <c r="K10" s="244">
        <f t="shared" ref="K10:K13" si="1">IF(ISNUMBER((E10-F10)/C10),(E10-F10)/C10," - ")</f>
        <v>0.52542372881355937</v>
      </c>
      <c r="L10" s="1402">
        <f>IF(ISNUMBER(NºAsuntos!I10/NºAsuntos!G10),(NºAsuntos!I10/NºAsuntos!G10)*11," - ")</f>
        <v>39.6</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59</v>
      </c>
      <c r="D14" s="1407">
        <f>SUBTOTAL(9,D9:D13)</f>
        <v>59</v>
      </c>
      <c r="E14" s="1408">
        <f>SUBTOTAL(9,E9:E13)</f>
        <v>56</v>
      </c>
      <c r="F14" s="1409">
        <f>SUBTOTAL(9,F9:F13)</f>
        <v>25</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3</v>
      </c>
      <c r="B16" s="1461" t="str">
        <f>Datos!A16</f>
        <v xml:space="preserve">Jdos. Instrucción                               </v>
      </c>
      <c r="C16" s="239">
        <f t="shared" ref="C16:C22" si="2">IF(ISNUMBER(H16-E16+F16),H16-E16+F16," - ")</f>
        <v>1810</v>
      </c>
      <c r="D16" s="239">
        <f>IF(ISNUMBER(IF(D_I="SI",Datos!I16,Datos!I16+Datos!AC16)),IF(D_I="SI",Datos!I16,Datos!I16+Datos!AC16)," - ")</f>
        <v>1806</v>
      </c>
      <c r="E16" s="240">
        <f>IF(ISNUMBER(IF(D_I="SI",Datos!J16,Datos!J16+Datos!AD16)),IF(D_I="SI",Datos!J16,Datos!J16+Datos!AD16)," - ")</f>
        <v>2094</v>
      </c>
      <c r="F16" s="240">
        <f>IF(ISNUMBER(IF(D_I="SI",Datos!K16,Datos!K16+Datos!AE16)),IF(D_I="SI",Datos!K16,Datos!K16+Datos!AE16)," - ")</f>
        <v>1860</v>
      </c>
      <c r="G16" s="1390" t="str">
        <f>IF(Datos!E16&lt;&gt;"",Datos!E16,Datos!D16)</f>
        <v>03</v>
      </c>
      <c r="H16" s="241">
        <f>IF(ISNUMBER(IF(D_I="SI",Datos!L16,Datos!L16+Datos!AF16)),IF(D_I="SI",Datos!L16,Datos!L16+Datos!AF16)," - ")</f>
        <v>2044</v>
      </c>
      <c r="I16" s="1400" t="str">
        <f>IF(ISNUMBER(Datos!AS16/Datos!BM16),Datos!AS16/Datos!BM16," - ")</f>
        <v xml:space="preserve"> - </v>
      </c>
      <c r="J16" s="1401">
        <f>IF(ISNUMBER(Datos!BY16/Datos!CN16),Datos!BY16/Datos!CN16," - ")</f>
        <v>0</v>
      </c>
      <c r="K16" s="244">
        <f t="shared" ref="K16:K22" si="3">IF(ISNUMBER((E16-F16)/C16),(E16-F16)/C16," - ")</f>
        <v>0.1292817679558011</v>
      </c>
      <c r="L16" s="1402">
        <f>IF(ISNUMBER(NºAsuntos!I16/NºAsuntos!G16),(NºAsuntos!I16/NºAsuntos!G16)*11," - ")</f>
        <v>12.088172043010752</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325</v>
      </c>
      <c r="D18" s="239">
        <f>IF(ISNUMBER(IF(D_I="SI",Datos!I18,Datos!I18+Datos!AC18)),IF(D_I="SI",Datos!I18,Datos!I18+Datos!AC18)," - ")</f>
        <v>325</v>
      </c>
      <c r="E18" s="240">
        <f>IF(ISNUMBER(IF(D_I="SI",Datos!J18,Datos!J18+Datos!AD18)),IF(D_I="SI",Datos!J18,Datos!J18+Datos!AD18)," - ")</f>
        <v>268</v>
      </c>
      <c r="F18" s="240">
        <f>IF(ISNUMBER(IF(D_I="SI",Datos!K18,Datos!K18+Datos!AE18)),IF(D_I="SI",Datos!K18,Datos!K18+Datos!AE18)," - ")</f>
        <v>182</v>
      </c>
      <c r="G18" s="1390" t="str">
        <f>IF(Datos!E18&lt;&gt;"",Datos!E18,Datos!D18)</f>
        <v>37</v>
      </c>
      <c r="H18" s="241">
        <f>IF(ISNUMBER(IF(D_I="SI",Datos!L18,Datos!L18+Datos!AF18)),IF(D_I="SI",Datos!L18,Datos!L18+Datos!AF18)," - ")</f>
        <v>411</v>
      </c>
      <c r="I18" s="1400" t="str">
        <f>IF(ISNUMBER(Datos!AS18/Datos!BM18),Datos!AS18/Datos!BM18," - ")</f>
        <v xml:space="preserve"> - </v>
      </c>
      <c r="J18" s="1401" t="str">
        <f>IF(ISNUMBER((Datos!BY18+Datos!BZ18)/Datos!CN18),(Datos!BY18+Datos!BZ18)/Datos!CN18," - ")</f>
        <v xml:space="preserve"> - </v>
      </c>
      <c r="K18" s="244">
        <f t="shared" si="3"/>
        <v>0.26461538461538464</v>
      </c>
      <c r="L18" s="1402">
        <f>IF(ISNUMBER(NºAsuntos!I18/NºAsuntos!G18),(NºAsuntos!I18/NºAsuntos!G18)*11," - ")</f>
        <v>24.840659340659339</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2135</v>
      </c>
      <c r="D23" s="1407">
        <f>SUBTOTAL(9,D16:D22)</f>
        <v>2131</v>
      </c>
      <c r="E23" s="1408">
        <f>SUBTOTAL(9,E16:E22)</f>
        <v>2362</v>
      </c>
      <c r="F23" s="1408">
        <f>SUBTOTAL(9,F16:F22)</f>
        <v>2042</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2194</v>
      </c>
      <c r="D31" s="1435">
        <f>SUBTOTAL(9,D9:D30)</f>
        <v>2190</v>
      </c>
      <c r="E31" s="1436">
        <f>SUBTOTAL(9,E9:E30)</f>
        <v>2418</v>
      </c>
      <c r="F31" s="1436">
        <f>SUBTOTAL(9,F9:F30)</f>
        <v>2067</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xjB+mPQXxE3u0twOyOKspdzkYrCDQglPREluZmylmhPevlhugRe1/cy9KwVZQs1Ixbt5tfvhki4DOo6PHLLJUw==" saltValue="NYEk0EQQEmZTAeHd3IanaA=="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6Me5BxPQjNROaV9hW0pDdzvY/5iEqXpsHF97EipipaEn0L/7DFpWqFyDw0jbYUCg78i4R8O5jDYazjXJR/gR2w==" saltValue="E46IbCFxd3iPyAF2QdPRw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v>3475</v>
      </c>
      <c r="J9" s="194">
        <v>1956</v>
      </c>
      <c r="K9" s="194">
        <v>1611</v>
      </c>
      <c r="L9" s="194">
        <v>4006</v>
      </c>
      <c r="M9" s="194">
        <v>301</v>
      </c>
      <c r="N9" s="194">
        <v>771</v>
      </c>
      <c r="O9" s="194">
        <v>1014</v>
      </c>
      <c r="P9" s="194">
        <v>570</v>
      </c>
      <c r="Q9" s="194">
        <v>948</v>
      </c>
      <c r="R9" s="194">
        <v>8785</v>
      </c>
      <c r="S9" s="194">
        <v>3449</v>
      </c>
      <c r="T9" s="194">
        <v>1504</v>
      </c>
      <c r="U9" s="194">
        <v>1389</v>
      </c>
      <c r="V9" s="194">
        <v>3562</v>
      </c>
      <c r="W9" s="194">
        <v>318</v>
      </c>
      <c r="X9" s="201">
        <v>579</v>
      </c>
      <c r="Y9" s="204">
        <v>291</v>
      </c>
      <c r="Z9" s="194">
        <v>304</v>
      </c>
      <c r="AA9" s="194">
        <v>225</v>
      </c>
      <c r="AB9" s="194">
        <v>370</v>
      </c>
      <c r="AC9" s="194">
        <v>0</v>
      </c>
      <c r="AD9" s="194">
        <v>0</v>
      </c>
      <c r="AE9" s="194">
        <v>0</v>
      </c>
      <c r="AF9" s="201">
        <v>0</v>
      </c>
      <c r="AG9" s="204">
        <v>282</v>
      </c>
      <c r="AH9" s="194">
        <v>218</v>
      </c>
      <c r="AI9" s="194">
        <v>212</v>
      </c>
      <c r="AJ9" s="205">
        <v>288</v>
      </c>
      <c r="AK9" s="193">
        <v>0</v>
      </c>
      <c r="AL9" s="194">
        <v>0</v>
      </c>
      <c r="AM9" s="194">
        <v>0</v>
      </c>
      <c r="AN9" s="201">
        <v>0</v>
      </c>
      <c r="AO9" s="282">
        <v>6</v>
      </c>
      <c r="AP9" s="167">
        <v>6</v>
      </c>
      <c r="AQ9" s="167">
        <v>6</v>
      </c>
      <c r="AR9" s="206">
        <v>6</v>
      </c>
      <c r="AS9" s="379" t="s">
        <v>1072</v>
      </c>
      <c r="AT9" s="208"/>
      <c r="AU9" s="207"/>
      <c r="AV9" s="208"/>
      <c r="AW9" s="207"/>
      <c r="AX9" s="208"/>
      <c r="AY9" s="133">
        <f>IF(ISNUMBER(IF(J_V="SI",S9,S9+AG9)),IF(J_V="SI",S9,S9+AG9)," - ")</f>
        <v>3731</v>
      </c>
      <c r="AZ9" s="133">
        <f>IF(ISNUMBER(IF(J_V="SI",T9,T9+AH9)),IF(J_V="SI",T9,T9+AH9)," - ")</f>
        <v>1722</v>
      </c>
      <c r="BA9" s="134">
        <f>IF(ISNUMBER(IF(J_V="SI",U9,U9+AI9)),IF(J_V="SI",U9,U9+AI9)," - ")</f>
        <v>1601</v>
      </c>
      <c r="BB9" s="134">
        <f>IF(ISNUMBER(IF(J_V="SI",V9,V9+AJ9)),IF(J_V="SI",V9,V9+AJ9)," - ")</f>
        <v>3850</v>
      </c>
      <c r="BC9" s="135">
        <f>IF(ISNUMBER(X9),X9," - ")</f>
        <v>579</v>
      </c>
      <c r="BD9" s="136">
        <f>IF(ISNUMBER(BA9/AZ9),BA9/AZ9," - ")</f>
        <v>0.92973286875725902</v>
      </c>
      <c r="BE9" s="137">
        <f>IF(ISNUMBER(BB9/BA9),BB9/BA9, " - ")</f>
        <v>2.4047470331043099</v>
      </c>
      <c r="BF9" s="137">
        <f>IF(ISNUMBER(BC9/BA9),BC9/BA9, " - ")</f>
        <v>0.36164896939412866</v>
      </c>
      <c r="BG9" s="209">
        <f>IF(ISNUMBER((AY9+AZ9)/BA9),(AY9+AZ9)/BA9," - ")</f>
        <v>3.4059962523422862</v>
      </c>
      <c r="BH9" s="167">
        <v>6</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59</v>
      </c>
      <c r="J10" s="194">
        <v>56</v>
      </c>
      <c r="K10" s="194">
        <v>25</v>
      </c>
      <c r="L10" s="194">
        <v>90</v>
      </c>
      <c r="M10" s="194">
        <v>4</v>
      </c>
      <c r="N10" s="194">
        <v>17</v>
      </c>
      <c r="O10" s="194">
        <v>8</v>
      </c>
      <c r="P10" s="194">
        <v>14</v>
      </c>
      <c r="Q10" s="194">
        <v>17</v>
      </c>
      <c r="R10" s="194">
        <v>73</v>
      </c>
      <c r="S10" s="194">
        <v>80</v>
      </c>
      <c r="T10" s="194">
        <v>45</v>
      </c>
      <c r="U10" s="194">
        <v>37</v>
      </c>
      <c r="V10" s="194">
        <v>88</v>
      </c>
      <c r="W10" s="194">
        <v>13</v>
      </c>
      <c r="X10" s="201">
        <v>14</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1066</v>
      </c>
      <c r="AT10" s="205"/>
      <c r="AU10" s="213"/>
      <c r="AV10" s="205"/>
      <c r="AW10" s="213"/>
      <c r="AX10" s="205"/>
      <c r="AY10" s="138">
        <f t="shared" ref="AY10:BC10" si="0">IF(ISNUMBER(S10),S10," - ")</f>
        <v>80</v>
      </c>
      <c r="AZ10" s="139">
        <f t="shared" si="0"/>
        <v>45</v>
      </c>
      <c r="BA10" s="139">
        <f t="shared" si="0"/>
        <v>37</v>
      </c>
      <c r="BB10" s="139">
        <f t="shared" si="0"/>
        <v>88</v>
      </c>
      <c r="BC10" s="135">
        <f t="shared" si="0"/>
        <v>13</v>
      </c>
      <c r="BD10" s="136">
        <f>IF(ISNUMBER(BA10/AZ10),BA10/AZ10," - ")</f>
        <v>0.82222222222222219</v>
      </c>
      <c r="BE10" s="137">
        <f>IF(ISNUMBER(BB10/BA10),BB10/BA10, " - ")</f>
        <v>2.3783783783783785</v>
      </c>
      <c r="BF10" s="137">
        <f>IF(ISNUMBER(BC10/BA10),BC10/BA10, " - ")</f>
        <v>0.35135135135135137</v>
      </c>
      <c r="BG10" s="209">
        <f>IF(ISNUMBER((AY10+AZ10)/BA10),(AY10+AZ10)/BA10," - ")</f>
        <v>3.3783783783783785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t="s">
        <v>1081</v>
      </c>
      <c r="J12" s="196" t="s">
        <v>1073</v>
      </c>
      <c r="K12" s="196" t="s">
        <v>1135</v>
      </c>
      <c r="L12" s="196" t="s">
        <v>1086</v>
      </c>
      <c r="M12" s="196" t="s">
        <v>653</v>
      </c>
      <c r="N12" s="196" t="s">
        <v>668</v>
      </c>
      <c r="O12" s="194" t="s">
        <v>286</v>
      </c>
      <c r="P12" s="196" t="s">
        <v>57</v>
      </c>
      <c r="Q12" s="196" t="s">
        <v>58</v>
      </c>
      <c r="R12" s="196" t="s">
        <v>125</v>
      </c>
      <c r="S12" s="196"/>
      <c r="T12" s="196"/>
      <c r="U12" s="196"/>
      <c r="V12" s="196"/>
      <c r="W12" s="196"/>
      <c r="X12" s="202"/>
      <c r="Y12" s="204" t="s">
        <v>179</v>
      </c>
      <c r="Z12" s="194" t="s">
        <v>180</v>
      </c>
      <c r="AA12" s="194" t="s">
        <v>181</v>
      </c>
      <c r="AB12" s="194" t="s">
        <v>182</v>
      </c>
      <c r="AC12" s="196"/>
      <c r="AD12" s="196"/>
      <c r="AE12" s="196"/>
      <c r="AF12" s="202"/>
      <c r="AG12" s="215"/>
      <c r="AH12" s="196"/>
      <c r="AI12" s="196"/>
      <c r="AJ12" s="216"/>
      <c r="AK12" s="195"/>
      <c r="AL12" s="196"/>
      <c r="AM12" s="196"/>
      <c r="AN12" s="202"/>
      <c r="AO12" s="283">
        <v>0</v>
      </c>
      <c r="AP12" s="168">
        <v>0</v>
      </c>
      <c r="AQ12" s="168">
        <v>0</v>
      </c>
      <c r="AR12" s="167">
        <v>0</v>
      </c>
      <c r="AS12" s="381" t="s">
        <v>1075</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3534</v>
      </c>
      <c r="J14" s="197">
        <f t="shared" si="7"/>
        <v>2012</v>
      </c>
      <c r="K14" s="197">
        <f t="shared" si="7"/>
        <v>1636</v>
      </c>
      <c r="L14" s="197">
        <f t="shared" si="7"/>
        <v>4096</v>
      </c>
      <c r="M14" s="197">
        <f t="shared" si="7"/>
        <v>305</v>
      </c>
      <c r="N14" s="197">
        <f t="shared" si="7"/>
        <v>788</v>
      </c>
      <c r="O14" s="197">
        <f t="shared" si="7"/>
        <v>1022</v>
      </c>
      <c r="P14" s="197">
        <f t="shared" si="7"/>
        <v>584</v>
      </c>
      <c r="Q14" s="197">
        <f t="shared" si="7"/>
        <v>965</v>
      </c>
      <c r="R14" s="197">
        <f t="shared" si="7"/>
        <v>8858</v>
      </c>
      <c r="S14" s="197">
        <f t="shared" si="7"/>
        <v>3529</v>
      </c>
      <c r="T14" s="197">
        <f t="shared" si="7"/>
        <v>1549</v>
      </c>
      <c r="U14" s="197">
        <f t="shared" si="7"/>
        <v>1426</v>
      </c>
      <c r="V14" s="197">
        <f t="shared" si="7"/>
        <v>3650</v>
      </c>
      <c r="W14" s="197">
        <f t="shared" si="7"/>
        <v>331</v>
      </c>
      <c r="X14" s="197">
        <f t="shared" si="7"/>
        <v>593</v>
      </c>
      <c r="Y14" s="197">
        <f t="shared" si="7"/>
        <v>291</v>
      </c>
      <c r="Z14" s="197">
        <f t="shared" si="7"/>
        <v>304</v>
      </c>
      <c r="AA14" s="197">
        <f t="shared" si="7"/>
        <v>225</v>
      </c>
      <c r="AB14" s="197">
        <f t="shared" si="7"/>
        <v>370</v>
      </c>
      <c r="AC14" s="197">
        <f t="shared" si="7"/>
        <v>0</v>
      </c>
      <c r="AD14" s="197">
        <f t="shared" si="7"/>
        <v>0</v>
      </c>
      <c r="AE14" s="197">
        <f t="shared" si="7"/>
        <v>0</v>
      </c>
      <c r="AF14" s="197">
        <f>SUBTOTAL(9,AF9:AF13)</f>
        <v>0</v>
      </c>
      <c r="AG14" s="197">
        <f t="shared" ref="AG14:AT14" si="8">SUBTOTAL(9,AG8:AG13)</f>
        <v>282</v>
      </c>
      <c r="AH14" s="197">
        <f t="shared" si="8"/>
        <v>218</v>
      </c>
      <c r="AI14" s="197">
        <f t="shared" si="8"/>
        <v>212</v>
      </c>
      <c r="AJ14" s="197">
        <f t="shared" si="8"/>
        <v>288</v>
      </c>
      <c r="AK14" s="197">
        <f t="shared" si="8"/>
        <v>0</v>
      </c>
      <c r="AL14" s="197">
        <f t="shared" si="8"/>
        <v>0</v>
      </c>
      <c r="AM14" s="197">
        <f t="shared" si="8"/>
        <v>0</v>
      </c>
      <c r="AN14" s="197">
        <f t="shared" si="8"/>
        <v>0</v>
      </c>
      <c r="AO14" s="197">
        <f t="shared" si="8"/>
        <v>7</v>
      </c>
      <c r="AP14" s="197">
        <f t="shared" si="8"/>
        <v>7</v>
      </c>
      <c r="AQ14" s="197">
        <f t="shared" si="8"/>
        <v>7</v>
      </c>
      <c r="AR14" s="197">
        <f t="shared" si="8"/>
        <v>7</v>
      </c>
      <c r="AS14" s="197">
        <f t="shared" si="8"/>
        <v>0</v>
      </c>
      <c r="AT14" s="197">
        <f t="shared" si="8"/>
        <v>0</v>
      </c>
      <c r="AU14" s="217"/>
      <c r="AV14" s="142"/>
      <c r="AW14" s="217"/>
      <c r="AX14" s="142"/>
      <c r="AY14" s="197">
        <f>SUBTOTAL(9,AY8:AY13)</f>
        <v>3811</v>
      </c>
      <c r="AZ14" s="197">
        <f>SUBTOTAL(9,AZ8:AZ13)</f>
        <v>1767</v>
      </c>
      <c r="BA14" s="197">
        <f>SUBTOTAL(9,BA8:BA13)</f>
        <v>1638</v>
      </c>
      <c r="BB14" s="197">
        <f>SUBTOTAL(9,BB8:BB13)</f>
        <v>3938</v>
      </c>
      <c r="BC14" s="197">
        <f>SUBTOTAL(9,BC8:BC13)</f>
        <v>592</v>
      </c>
      <c r="BD14" s="219">
        <f>IF(ISNUMBER(BA14/AZ14),BA14/AZ14," - ")</f>
        <v>0.92699490662139217</v>
      </c>
      <c r="BE14" s="220">
        <f>IF(ISNUMBER(BB14/BA14),BB14/BA14, " - ")</f>
        <v>2.404151404151404</v>
      </c>
      <c r="BF14" s="220">
        <f>IF(ISNUMBER(BC14/BA14),BC14/BA14, " - ")</f>
        <v>0.36141636141636141</v>
      </c>
      <c r="BG14" s="221">
        <f>IF(ISNUMBER((AY14+AZ14)/BA14),(AY14+AZ14)/BA14," - ")</f>
        <v>3.4053724053724053</v>
      </c>
      <c r="BH14" s="153">
        <f>SUBTOTAL(9,BH8:BH13)</f>
        <v>7</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1806</v>
      </c>
      <c r="J16" s="196">
        <v>2094</v>
      </c>
      <c r="K16" s="196">
        <v>1860</v>
      </c>
      <c r="L16" s="196">
        <v>2044</v>
      </c>
      <c r="M16" s="196">
        <v>308</v>
      </c>
      <c r="N16" s="196">
        <v>923</v>
      </c>
      <c r="O16" s="194">
        <v>155</v>
      </c>
      <c r="P16" s="196">
        <v>211</v>
      </c>
      <c r="Q16" s="196">
        <v>198</v>
      </c>
      <c r="R16" s="196">
        <v>461</v>
      </c>
      <c r="S16" s="196">
        <v>1725</v>
      </c>
      <c r="T16" s="196">
        <v>1951</v>
      </c>
      <c r="U16" s="196">
        <v>1803</v>
      </c>
      <c r="V16" s="196">
        <v>1874</v>
      </c>
      <c r="W16" s="196">
        <v>266</v>
      </c>
      <c r="X16" s="202">
        <v>950</v>
      </c>
      <c r="Y16" s="215">
        <v>0</v>
      </c>
      <c r="Z16" s="196">
        <v>0</v>
      </c>
      <c r="AA16" s="196">
        <v>0</v>
      </c>
      <c r="AB16" s="196">
        <v>0</v>
      </c>
      <c r="AC16" s="196">
        <v>0</v>
      </c>
      <c r="AD16" s="196">
        <v>20</v>
      </c>
      <c r="AE16" s="196">
        <v>20</v>
      </c>
      <c r="AF16" s="202">
        <v>0</v>
      </c>
      <c r="AG16" s="215">
        <v>0</v>
      </c>
      <c r="AH16" s="196">
        <v>0</v>
      </c>
      <c r="AI16" s="196">
        <v>0</v>
      </c>
      <c r="AJ16" s="216">
        <v>0</v>
      </c>
      <c r="AK16" s="195">
        <v>0</v>
      </c>
      <c r="AL16" s="196">
        <v>10</v>
      </c>
      <c r="AM16" s="196">
        <v>10</v>
      </c>
      <c r="AN16" s="202">
        <v>0</v>
      </c>
      <c r="AO16" s="283">
        <v>3</v>
      </c>
      <c r="AP16" s="168">
        <v>3</v>
      </c>
      <c r="AQ16" s="168">
        <v>3</v>
      </c>
      <c r="AR16" s="168">
        <v>3</v>
      </c>
      <c r="AS16" s="381" t="s">
        <v>702</v>
      </c>
      <c r="AT16" s="216" t="s">
        <v>424</v>
      </c>
      <c r="AU16" s="215"/>
      <c r="AV16" s="216"/>
      <c r="AW16" s="215"/>
      <c r="AX16" s="216"/>
      <c r="AY16" s="138">
        <f t="shared" ref="AY16:BB17" si="10">IF(ISNUMBER(IF(D_I="SI",S16,S16+AK16)),IF(D_I="SI",S16,S16+AK16)," - ")</f>
        <v>1725</v>
      </c>
      <c r="AZ16" s="139">
        <f t="shared" si="10"/>
        <v>1951</v>
      </c>
      <c r="BA16" s="139">
        <f t="shared" si="10"/>
        <v>1803</v>
      </c>
      <c r="BB16" s="139">
        <f t="shared" si="10"/>
        <v>1874</v>
      </c>
      <c r="BC16" s="135">
        <f>IF(ISNUMBER(W16),W16," - ")</f>
        <v>266</v>
      </c>
      <c r="BD16" s="136">
        <f>IF(ISNUMBER(BA16/AZ16),BA16/AZ16," - ")</f>
        <v>0.92414146591491542</v>
      </c>
      <c r="BE16" s="137">
        <f>IF(ISNUMBER(BB16/BA16),BB16/BA16, " - ")</f>
        <v>1.0393788130892956</v>
      </c>
      <c r="BF16" s="137">
        <f>IF(ISNUMBER(BC16/BA16),BC16/BA16, " - ")</f>
        <v>0.14753189129229063</v>
      </c>
      <c r="BG16" s="209">
        <f t="shared" ref="BG16:BG22" si="11">IF(ISNUMBER((AY16+AZ16)/BA16),(AY16+AZ16)/BA16," - ")</f>
        <v>2.0388241819190238</v>
      </c>
      <c r="BH16" s="168">
        <v>3</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t="s">
        <v>651</v>
      </c>
      <c r="J17" s="196" t="s">
        <v>647</v>
      </c>
      <c r="K17" s="196" t="s">
        <v>648</v>
      </c>
      <c r="L17" s="196" t="s">
        <v>649</v>
      </c>
      <c r="M17" s="196" t="s">
        <v>654</v>
      </c>
      <c r="N17" s="196" t="s">
        <v>200</v>
      </c>
      <c r="O17" s="194" t="s">
        <v>287</v>
      </c>
      <c r="P17" s="196" t="s">
        <v>633</v>
      </c>
      <c r="Q17" s="196" t="s">
        <v>634</v>
      </c>
      <c r="R17" s="196" t="s">
        <v>635</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650</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325</v>
      </c>
      <c r="J18" s="196">
        <v>268</v>
      </c>
      <c r="K18" s="196">
        <v>182</v>
      </c>
      <c r="L18" s="196">
        <v>411</v>
      </c>
      <c r="M18" s="196">
        <v>13</v>
      </c>
      <c r="N18" s="196">
        <v>98</v>
      </c>
      <c r="O18" s="196">
        <v>1</v>
      </c>
      <c r="P18" s="196">
        <v>1</v>
      </c>
      <c r="Q18" s="196">
        <v>1</v>
      </c>
      <c r="R18" s="196">
        <v>4</v>
      </c>
      <c r="S18" s="196">
        <v>298</v>
      </c>
      <c r="T18" s="196">
        <v>276</v>
      </c>
      <c r="U18" s="196">
        <v>235</v>
      </c>
      <c r="V18" s="196">
        <v>339</v>
      </c>
      <c r="W18" s="196">
        <v>12</v>
      </c>
      <c r="X18" s="202">
        <v>135</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1065</v>
      </c>
      <c r="AT18" s="223"/>
      <c r="AU18" s="213"/>
      <c r="AV18" s="223"/>
      <c r="AW18" s="213"/>
      <c r="AX18" s="223"/>
      <c r="AY18" s="138">
        <f t="shared" ref="AY18:BB19" si="15">IF(ISNUMBER(S18),S18," - ")</f>
        <v>298</v>
      </c>
      <c r="AZ18" s="139">
        <f t="shared" si="15"/>
        <v>276</v>
      </c>
      <c r="BA18" s="139">
        <f t="shared" si="15"/>
        <v>235</v>
      </c>
      <c r="BB18" s="139">
        <f t="shared" si="15"/>
        <v>339</v>
      </c>
      <c r="BC18" s="135">
        <f>IF(ISNUMBER(W18),W18," - ")</f>
        <v>12</v>
      </c>
      <c r="BD18" s="136">
        <f>IF(ISNUMBER(BA18/AZ18),BA18/AZ18," - ")</f>
        <v>0.85144927536231885</v>
      </c>
      <c r="BE18" s="137">
        <f>IF(ISNUMBER(BB18/BA18),BB18/BA18, " - ")</f>
        <v>1.4425531914893617</v>
      </c>
      <c r="BF18" s="137">
        <f>IF(ISNUMBER(BC18/BA18),BC18/BA18, " - ")</f>
        <v>5.106382978723404E-2</v>
      </c>
      <c r="BG18" s="209">
        <f>IF(ISNUMBER((AY18+AZ18)/BA18),(AY18+AZ18)/BA18," - ")</f>
        <v>2.4425531914893619</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2131</v>
      </c>
      <c r="J23" s="197">
        <f t="shared" si="21"/>
        <v>2362</v>
      </c>
      <c r="K23" s="197">
        <f t="shared" si="21"/>
        <v>2042</v>
      </c>
      <c r="L23" s="197">
        <f t="shared" si="21"/>
        <v>2455</v>
      </c>
      <c r="M23" s="197">
        <f t="shared" si="21"/>
        <v>321</v>
      </c>
      <c r="N23" s="197">
        <f t="shared" si="21"/>
        <v>1021</v>
      </c>
      <c r="O23" s="197">
        <f t="shared" si="21"/>
        <v>156</v>
      </c>
      <c r="P23" s="197">
        <f t="shared" si="21"/>
        <v>212</v>
      </c>
      <c r="Q23" s="197">
        <f t="shared" si="21"/>
        <v>199</v>
      </c>
      <c r="R23" s="197">
        <f t="shared" si="21"/>
        <v>465</v>
      </c>
      <c r="S23" s="197">
        <f t="shared" si="21"/>
        <v>2023</v>
      </c>
      <c r="T23" s="197">
        <f t="shared" si="21"/>
        <v>2227</v>
      </c>
      <c r="U23" s="197">
        <f t="shared" si="21"/>
        <v>2038</v>
      </c>
      <c r="V23" s="197">
        <f t="shared" si="21"/>
        <v>2213</v>
      </c>
      <c r="W23" s="197">
        <f t="shared" si="21"/>
        <v>278</v>
      </c>
      <c r="X23" s="197">
        <f t="shared" si="21"/>
        <v>1085</v>
      </c>
      <c r="Y23" s="197">
        <f t="shared" si="21"/>
        <v>0</v>
      </c>
      <c r="Z23" s="197">
        <f t="shared" si="21"/>
        <v>0</v>
      </c>
      <c r="AA23" s="197">
        <f t="shared" si="21"/>
        <v>0</v>
      </c>
      <c r="AB23" s="197">
        <f t="shared" si="21"/>
        <v>0</v>
      </c>
      <c r="AC23" s="197">
        <f t="shared" si="21"/>
        <v>0</v>
      </c>
      <c r="AD23" s="197">
        <f t="shared" si="21"/>
        <v>20</v>
      </c>
      <c r="AE23" s="197">
        <f t="shared" si="21"/>
        <v>20</v>
      </c>
      <c r="AF23" s="197">
        <f t="shared" si="21"/>
        <v>0</v>
      </c>
      <c r="AG23" s="197">
        <f t="shared" si="21"/>
        <v>0</v>
      </c>
      <c r="AH23" s="197">
        <f t="shared" si="21"/>
        <v>0</v>
      </c>
      <c r="AI23" s="197">
        <f t="shared" si="21"/>
        <v>0</v>
      </c>
      <c r="AJ23" s="197">
        <f t="shared" si="21"/>
        <v>0</v>
      </c>
      <c r="AK23" s="197">
        <f t="shared" si="21"/>
        <v>0</v>
      </c>
      <c r="AL23" s="197">
        <f t="shared" si="21"/>
        <v>10</v>
      </c>
      <c r="AM23" s="197">
        <f t="shared" si="21"/>
        <v>10</v>
      </c>
      <c r="AN23" s="197">
        <f t="shared" si="21"/>
        <v>0</v>
      </c>
      <c r="AO23" s="197">
        <f t="shared" si="21"/>
        <v>4</v>
      </c>
      <c r="AP23" s="197">
        <f t="shared" si="21"/>
        <v>4</v>
      </c>
      <c r="AQ23" s="197">
        <f t="shared" si="21"/>
        <v>4</v>
      </c>
      <c r="AR23" s="197">
        <f t="shared" si="21"/>
        <v>4</v>
      </c>
      <c r="AS23" s="197">
        <f t="shared" si="21"/>
        <v>0</v>
      </c>
      <c r="AT23" s="197">
        <f t="shared" si="21"/>
        <v>0</v>
      </c>
      <c r="AU23" s="217"/>
      <c r="AV23" s="142"/>
      <c r="AW23" s="217"/>
      <c r="AX23" s="142"/>
      <c r="AY23" s="197">
        <f>SUBTOTAL(9,AY15:AY22)</f>
        <v>2023</v>
      </c>
      <c r="AZ23" s="197">
        <f>SUBTOTAL(9,AZ15:AZ22)</f>
        <v>2227</v>
      </c>
      <c r="BA23" s="197">
        <f>SUBTOTAL(9,BA15:BA22)</f>
        <v>2038</v>
      </c>
      <c r="BB23" s="197">
        <f>SUBTOTAL(9,BB15:BB22)</f>
        <v>2213</v>
      </c>
      <c r="BC23" s="197">
        <f>SUBTOTAL(9,BC15:BC22)</f>
        <v>278</v>
      </c>
      <c r="BD23" s="219">
        <f>IF(ISNUMBER(BA23/AZ23),BA23/AZ23," - ")</f>
        <v>0.91513246519982039</v>
      </c>
      <c r="BE23" s="220">
        <f>IF(ISNUMBER(BB23/BA23),BB23/BA23, " - ")</f>
        <v>1.0858684985279685</v>
      </c>
      <c r="BF23" s="220">
        <f>IF(ISNUMBER(BC23/BA23),BC23/BA23, " - ")</f>
        <v>0.13640824337585869</v>
      </c>
      <c r="BG23" s="221">
        <f>IF(ISNUMBER((AY23+AZ23)/BA23),(AY23+AZ23)/BA23," - ")</f>
        <v>2.0853778213935232</v>
      </c>
      <c r="BH23" s="197">
        <f>SUBTOTAL(9,BH15:BH22)</f>
        <v>4</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5665</v>
      </c>
      <c r="J31" s="144">
        <f t="shared" si="36"/>
        <v>4374</v>
      </c>
      <c r="K31" s="144">
        <f t="shared" si="36"/>
        <v>3678</v>
      </c>
      <c r="L31" s="144">
        <f t="shared" si="36"/>
        <v>6551</v>
      </c>
      <c r="M31" s="144">
        <f t="shared" si="36"/>
        <v>626</v>
      </c>
      <c r="N31" s="144">
        <f t="shared" si="36"/>
        <v>1809</v>
      </c>
      <c r="O31" s="144">
        <f t="shared" si="36"/>
        <v>1178</v>
      </c>
      <c r="P31" s="144">
        <f t="shared" si="36"/>
        <v>796</v>
      </c>
      <c r="Q31" s="144">
        <f t="shared" si="36"/>
        <v>1164</v>
      </c>
      <c r="R31" s="144">
        <f t="shared" si="36"/>
        <v>9323</v>
      </c>
      <c r="S31" s="144">
        <f t="shared" si="36"/>
        <v>5552</v>
      </c>
      <c r="T31" s="144">
        <f t="shared" si="36"/>
        <v>3776</v>
      </c>
      <c r="U31" s="144">
        <f t="shared" si="36"/>
        <v>3464</v>
      </c>
      <c r="V31" s="144">
        <f t="shared" si="36"/>
        <v>5863</v>
      </c>
      <c r="W31" s="144">
        <f t="shared" si="36"/>
        <v>609</v>
      </c>
      <c r="X31" s="144">
        <f t="shared" si="36"/>
        <v>1678</v>
      </c>
      <c r="Y31" s="144">
        <f t="shared" si="36"/>
        <v>291</v>
      </c>
      <c r="Z31" s="144">
        <f t="shared" si="36"/>
        <v>304</v>
      </c>
      <c r="AA31" s="144">
        <f t="shared" si="36"/>
        <v>225</v>
      </c>
      <c r="AB31" s="144">
        <f t="shared" si="36"/>
        <v>370</v>
      </c>
      <c r="AC31" s="144">
        <f t="shared" si="36"/>
        <v>0</v>
      </c>
      <c r="AD31" s="144">
        <f t="shared" si="36"/>
        <v>20</v>
      </c>
      <c r="AE31" s="144">
        <f t="shared" si="36"/>
        <v>20</v>
      </c>
      <c r="AF31" s="144">
        <f t="shared" si="36"/>
        <v>0</v>
      </c>
      <c r="AG31" s="144">
        <f t="shared" si="36"/>
        <v>282</v>
      </c>
      <c r="AH31" s="144">
        <f t="shared" si="36"/>
        <v>218</v>
      </c>
      <c r="AI31" s="144">
        <f t="shared" si="36"/>
        <v>212</v>
      </c>
      <c r="AJ31" s="144">
        <f t="shared" si="36"/>
        <v>288</v>
      </c>
      <c r="AK31" s="144">
        <f t="shared" si="36"/>
        <v>0</v>
      </c>
      <c r="AL31" s="144">
        <f t="shared" si="36"/>
        <v>10</v>
      </c>
      <c r="AM31" s="144">
        <f t="shared" si="36"/>
        <v>10</v>
      </c>
      <c r="AN31" s="224">
        <f t="shared" si="36"/>
        <v>0</v>
      </c>
      <c r="AO31" s="225">
        <v>10</v>
      </c>
      <c r="AP31" s="225">
        <v>10</v>
      </c>
      <c r="AQ31" s="225">
        <v>10</v>
      </c>
      <c r="AR31" s="225">
        <v>10</v>
      </c>
      <c r="AS31" s="166">
        <f t="shared" si="36"/>
        <v>0</v>
      </c>
      <c r="AT31" s="166">
        <f t="shared" si="36"/>
        <v>0</v>
      </c>
      <c r="AU31" s="225"/>
      <c r="AV31" s="226"/>
      <c r="AW31" s="225"/>
      <c r="AX31" s="226"/>
      <c r="AY31" s="143">
        <f>SUBTOTAL(9,AY9:AY30)</f>
        <v>5834</v>
      </c>
      <c r="AZ31" s="144">
        <f>SUBTOTAL(9,AZ9:AZ30)</f>
        <v>3994</v>
      </c>
      <c r="BA31" s="144">
        <f>SUBTOTAL(9,BA9:BA30)</f>
        <v>3676</v>
      </c>
      <c r="BB31" s="144">
        <f>SUBTOTAL(9,BB9:BB30)</f>
        <v>6151</v>
      </c>
      <c r="BC31" s="145">
        <f>SUBTOTAL(9,BC9:BC30)</f>
        <v>870</v>
      </c>
      <c r="BD31" s="227">
        <f>IF(ISNUMBER(BA31/AZ31),BA31/AZ31," - ")</f>
        <v>0.92038057085628444</v>
      </c>
      <c r="BE31" s="224">
        <f>IF(ISNUMBER(BB31/BA31),BB31/BA31, " - ")</f>
        <v>1.6732861806311208</v>
      </c>
      <c r="BF31" s="224">
        <f>IF(ISNUMBER(BC31/BA31),BC31/BA31, " - ")</f>
        <v>0.2366702937976061</v>
      </c>
      <c r="BG31" s="145">
        <f>IF(ISNUMBER((AY31+AZ31)/BA31),(AY31+AZ31)/BA31," - ")</f>
        <v>2.6735582154515778</v>
      </c>
      <c r="BH31" s="225">
        <f>SUBTOTAL(9,BH9:BH30)</f>
        <v>11</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I1I2HjZDc9Et5OMxoeCbtgxeOpAKzJIncPOQI4uP8LEjxTetpr9mNvzeOKi40vl3ZtgxjJ4HrZkZGDMwenpkJQ==" saltValue="ZguKaEWgj3JLRFiYsUmI4w=="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BTPv0e7ZW3Qnw7XxwKQr1I98W/HKVp5ZaoG+4WSK6WXZFHqqXq8LwLzXve0h7YrRibA8IVA8gl+O/QN5XjcMQg==" saltValue="YPcCalipcd+eyaer09euZg=="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COMUNIDAD VALENCIANA</v>
      </c>
      <c r="F1" s="578"/>
    </row>
    <row r="2" spans="1:74" ht="16.5" customHeight="1">
      <c r="C2" s="567" t="str">
        <f>Criterios!A10 &amp;"  "&amp;Criterios!B10 &amp; "  " &amp; IF(NOT(ISBLANK(Criterios!A11)),Criterios!A11 &amp;"  "&amp;Criterios!B11,"")</f>
        <v>Provincias  VALENCIA  Resumenes por Partidos Judiciales  TORRENT</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6</v>
      </c>
      <c r="B9" s="745" t="s">
        <v>321</v>
      </c>
      <c r="C9" s="765" t="str">
        <f>Datos!A9</f>
        <v xml:space="preserve">Jdos. 1ª Instancia   </v>
      </c>
      <c r="D9" s="593"/>
      <c r="E9" s="764">
        <f>IF(ISNUMBER(Datos!AQ9),Datos!AQ9," - ")</f>
        <v>6</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304</v>
      </c>
      <c r="O9" s="549"/>
      <c r="P9" s="549"/>
      <c r="Q9" s="547">
        <f>IF(ISNUMBER(Datos!P9),Datos!P9,0)</f>
        <v>570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948</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370</v>
      </c>
      <c r="AI9" s="549" t="str">
        <f>IF(ISNUMBER(Datos!CD9),Datos!CD9,"-")</f>
        <v>-</v>
      </c>
      <c r="AJ9" s="549" t="str">
        <f>IF(ISNUMBER(Datos!EN9),Datos!EN9," - ")</f>
        <v xml:space="preserve"> - </v>
      </c>
      <c r="AK9" s="549"/>
      <c r="AL9" s="550"/>
      <c r="AM9" s="766">
        <f>IF(ISNUMBER(Datos!R9),Datos!R9," - ")</f>
        <v>8785</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301</v>
      </c>
      <c r="BD9" s="693">
        <f>IF(ISNUMBER(Datos!N9),Datos!N9," - ")</f>
        <v>771</v>
      </c>
      <c r="BE9" s="693" t="str">
        <f>IF(ISNUMBER(Datos!BW9),Datos!BW9," - ")</f>
        <v xml:space="preserve"> - </v>
      </c>
      <c r="BF9" s="762" t="str">
        <f>IF(ISNUMBER(Datos!BX9),Datos!BX9," - ")</f>
        <v xml:space="preserve"> - </v>
      </c>
      <c r="BG9" s="763">
        <f>IF(ISNUMBER(IF(J_V="SI",Datos!K9/Datos!J9,(Datos!K9+Datos!AA9)/(Datos!J9+Datos!Z9))),IF(J_V="SI",Datos!K9/Datos!J9,(Datos!K9+Datos!AA9)/(Datos!J9+Datos!Z9))," - ")</f>
        <v>0.81238938053097343</v>
      </c>
      <c r="BH9" s="764">
        <f>IF(ISNUMBER(((IF(J_V="SI",Datos!L9/Datos!K9,(Datos!L9+Datos!AB9)/(Datos!K9+Datos!AA9)))*11)/factor_trimestre),((IF(J_V="SI",Datos!L9/Datos!K9,(Datos!L9+Datos!AB9)/(Datos!K9+Datos!AA9)))*11)/factor_trimestre," - ")</f>
        <v>4.7668845315904136</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-4.1252864782276549E-2</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1</v>
      </c>
      <c r="F10" s="552">
        <f>IF(ISNUMBER(Datos!L10+Datos!K10-Datos!J10),Datos!L10+Datos!K10-Datos!J10," - ")</f>
        <v>59</v>
      </c>
      <c r="G10" s="543">
        <f>IF(ISNUMBER(Datos!I10),Datos!I10," - ")</f>
        <v>59</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14</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25</v>
      </c>
      <c r="AC10" s="547">
        <f>IF(ISNUMBER(Datos!Q10),Datos!Q10," - ")</f>
        <v>17</v>
      </c>
      <c r="AD10" s="549"/>
      <c r="AE10" s="563"/>
      <c r="AF10" s="551">
        <f>IF(ISNUMBER(Datos!L10),Datos!L10,"-")</f>
        <v>90</v>
      </c>
      <c r="AG10" s="549"/>
      <c r="AH10" s="549"/>
      <c r="AI10" s="549"/>
      <c r="AJ10" s="549"/>
      <c r="AK10" s="549"/>
      <c r="AL10" s="550"/>
      <c r="AM10" s="766">
        <f>IF(ISNUMBER(Datos!R10),Datos!R10," - ")</f>
        <v>73</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4</v>
      </c>
      <c r="BD10" s="693">
        <f>IF(ISNUMBER(Datos!N10),Datos!N10," - ")</f>
        <v>17</v>
      </c>
      <c r="BE10" s="693" t="str">
        <f>IF(ISNUMBER(Datos!BW10),Datos!BW10," - ")</f>
        <v xml:space="preserve"> - </v>
      </c>
      <c r="BF10" s="762" t="str">
        <f>IF(ISNUMBER(Datos!BX10),Datos!BX10," - ")</f>
        <v xml:space="preserve"> - </v>
      </c>
      <c r="BG10" s="763">
        <f>IF(ISNUMBER(Datos!K10/Datos!J10),Datos!K10/Datos!J10," - ")</f>
        <v>0.44642857142857145</v>
      </c>
      <c r="BH10" s="764">
        <f>IF(ISNUMBER(((Datos!L10/Datos!K10)*11)/factor_trimestre),((Datos!L10/Datos!K10)*11)/factor_trimestre," - ")</f>
        <v>7.2</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-3.9473684210526314E-2</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7</v>
      </c>
      <c r="F14" s="1197">
        <f t="shared" si="1"/>
        <v>59</v>
      </c>
      <c r="G14" s="1197">
        <f t="shared" si="1"/>
        <v>59</v>
      </c>
      <c r="H14" s="1198">
        <f t="shared" si="1"/>
        <v>0</v>
      </c>
      <c r="I14" s="1197">
        <f t="shared" si="1"/>
        <v>0</v>
      </c>
      <c r="J14" s="1164">
        <f t="shared" si="1"/>
        <v>0</v>
      </c>
      <c r="K14" s="1164">
        <f t="shared" si="1"/>
        <v>0</v>
      </c>
      <c r="L14" s="1198">
        <f t="shared" si="1"/>
        <v>0</v>
      </c>
      <c r="M14" s="1198">
        <f t="shared" si="1"/>
        <v>0</v>
      </c>
      <c r="N14" s="1198">
        <f t="shared" si="1"/>
        <v>304</v>
      </c>
      <c r="O14" s="1199">
        <f t="shared" si="1"/>
        <v>0</v>
      </c>
      <c r="P14" s="1199">
        <f t="shared" si="1"/>
        <v>0</v>
      </c>
      <c r="Q14" s="1198">
        <f t="shared" si="1"/>
        <v>584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25</v>
      </c>
      <c r="AC14" s="1198">
        <f t="shared" si="2"/>
        <v>965</v>
      </c>
      <c r="AD14" s="1198">
        <f t="shared" si="2"/>
        <v>0</v>
      </c>
      <c r="AE14" s="1198">
        <f t="shared" si="2"/>
        <v>0</v>
      </c>
      <c r="AF14" s="1198">
        <f t="shared" si="2"/>
        <v>90</v>
      </c>
      <c r="AG14" s="1198">
        <f t="shared" si="2"/>
        <v>0</v>
      </c>
      <c r="AH14" s="1198">
        <f t="shared" si="2"/>
        <v>370</v>
      </c>
      <c r="AI14" s="1198">
        <f t="shared" si="2"/>
        <v>0</v>
      </c>
      <c r="AJ14" s="1198">
        <f t="shared" si="2"/>
        <v>0</v>
      </c>
      <c r="AK14" s="1198">
        <f t="shared" si="2"/>
        <v>0</v>
      </c>
      <c r="AL14" s="1198">
        <f t="shared" si="2"/>
        <v>0</v>
      </c>
      <c r="AM14" s="1198">
        <f t="shared" si="2"/>
        <v>8858</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305</v>
      </c>
      <c r="BD14" s="1198">
        <f t="shared" si="2"/>
        <v>788</v>
      </c>
      <c r="BE14" s="1198">
        <f t="shared" si="2"/>
        <v>0</v>
      </c>
      <c r="BF14" s="1198">
        <f t="shared" si="2"/>
        <v>0</v>
      </c>
      <c r="BG14" s="1198">
        <f>IF(ISNUMBER(Datos!K14/Datos!J14),Datos!K14/Datos!J14," - ")</f>
        <v>0.81312127236580511</v>
      </c>
      <c r="BH14" s="1202">
        <f>IF(ISNUMBER(((Datos!L14/Datos!K14)*11)/factor_trimestre),((Datos!L14/Datos!K14)*11)/factor_trimestre," - ")</f>
        <v>5.0073349633251834</v>
      </c>
      <c r="BI14" s="1198">
        <f>IF(ISNUMBER('Resol  Asuntos'!D14/NºAsuntos!G14),'Resol  Asuntos'!D14/NºAsuntos!G14," - ")</f>
        <v>0.16389038151531435</v>
      </c>
      <c r="BJ14" s="1198" t="str">
        <f>IF(ISNUMBER(Datos!CI14/Datos!CJ14),Datos!CI14/Datos!CJ14," - ")</f>
        <v xml:space="preserve"> - </v>
      </c>
      <c r="BK14" s="1198">
        <f>SUBTOTAL(9,BK8:BK13)</f>
        <v>0</v>
      </c>
      <c r="BL14" s="1198">
        <f>IF(ISNUMBER((I14-AB14+L14)/(F14)),(I14-AB14+L14)/(F14)," - ")</f>
        <v>-0.42372881355932202</v>
      </c>
      <c r="BM14" s="1203">
        <f>SUBTOTAL(9,BM9:BM13)</f>
        <v>-8.0726548992802863E-2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3</v>
      </c>
      <c r="B16" s="737" t="s">
        <v>511</v>
      </c>
      <c r="C16" s="749" t="str">
        <f>Datos!A16</f>
        <v xml:space="preserve">Jdos. Instrucción                               </v>
      </c>
      <c r="D16" s="750"/>
      <c r="E16" s="1555">
        <f>IF(ISNUMBER(Datos!AQ16),Datos!AQ16," - ")</f>
        <v>3</v>
      </c>
      <c r="F16" s="740">
        <f>IF(ISNUMBER(AF16+AB16-Datos!J16-L16),AF16+AB16-Datos!J16-L16," - ")</f>
        <v>1810</v>
      </c>
      <c r="G16" s="743">
        <f>IF(ISNUMBER(IF(D_I="SI",Datos!I16,Datos!I16+Datos!AC16)),IF(D_I="SI",Datos!I16,Datos!I16+Datos!AC16)," - ")</f>
        <v>1806</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211</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1860</v>
      </c>
      <c r="AC16" s="240">
        <f>IF(ISNUMBER(Datos!Q16),Datos!Q16," - ")</f>
        <v>198</v>
      </c>
      <c r="AD16" s="374"/>
      <c r="AE16" s="562"/>
      <c r="AF16" s="741">
        <f>IF(ISNUMBER(IF(D_I="SI",Datos!L16,Datos!L16+Datos!AF16)),IF(D_I="SI",Datos!L16,Datos!L16+Datos!AF16)," - ")</f>
        <v>2044</v>
      </c>
      <c r="AG16" s="374"/>
      <c r="AH16" s="374"/>
      <c r="AI16" s="374"/>
      <c r="AJ16" s="549"/>
      <c r="AK16" s="374"/>
      <c r="AL16" s="545"/>
      <c r="AM16" s="375">
        <f>IF(ISNUMBER(Datos!R16),Datos!R16," - ")</f>
        <v>461</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308</v>
      </c>
      <c r="BD16" s="243">
        <f>IF(ISNUMBER(Datos!N16),Datos!N16," - ")</f>
        <v>923</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0.88825214899713467</v>
      </c>
      <c r="BH16" s="764">
        <f>IF(ISNUMBER(((IF(D_I="SI",Datos!L16/Datos!K16,(Datos!L16+Datos!AF16)/(Datos!K16+Datos!AE16)))*11)/factor_trimestre),((IF(D_I="SI",Datos!L16/Datos!K16,(Datos!L16+Datos!AF16)/(Datos!K16+Datos!AE16)))*11)/factor_trimestre," - ")</f>
        <v>2.1978494623655913</v>
      </c>
      <c r="BI16" s="266">
        <f>IF(ISNUMBER('Resol  Asuntos'!D16/NºAsuntos!G16),'Resol  Asuntos'!D16/NºAsuntos!G16," - ")</f>
        <v>0.16559139784946236</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0</v>
      </c>
      <c r="B17" s="737" t="s">
        <v>511</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325</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182</v>
      </c>
      <c r="AC18" s="547">
        <f>IF(ISNUMBER(Datos!Q18),Datos!Q18," - ")</f>
        <v>1</v>
      </c>
      <c r="AD18" s="549"/>
      <c r="AE18" s="562"/>
      <c r="AF18" s="551">
        <f>IF(ISNUMBER(Datos!L18),Datos!L18,"-")</f>
        <v>411</v>
      </c>
      <c r="AG18" s="549"/>
      <c r="AH18" s="549"/>
      <c r="AI18" s="549"/>
      <c r="AJ18" s="549"/>
      <c r="AK18" s="549"/>
      <c r="AL18" s="550"/>
      <c r="AM18" s="766">
        <f>IF(ISNUMBER(Datos!R18),Datos!R18," - ")</f>
        <v>4</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13</v>
      </c>
      <c r="BD18" s="693">
        <f>IF(ISNUMBER(Datos!N18),Datos!N18," - ")</f>
        <v>98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0.67910447761194026</v>
      </c>
      <c r="BH18" s="764">
        <f>IF(ISNUMBER(((IF(D_I="SI",Datos!L18/Datos!K18,(Datos!L18+Datos!AF18)/(Datos!K18+Datos!AE18)))*11)/factor_trimestre),((IF(D_I="SI",Datos!L18/Datos!K18,(Datos!L18+Datos!AF18)/(Datos!K18+Datos!AE18)))*11)/factor_trimestre," - ")</f>
        <v>4.5164835164835164</v>
      </c>
      <c r="BI18" s="763">
        <f>IF(ISNUMBER('Resol  Asuntos'!D18/NºAsuntos!G18),'Resol  Asuntos'!D18/NºAsuntos!G18," - ")</f>
        <v>7.1428571428571425E-2</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4</v>
      </c>
      <c r="F23" s="1197">
        <f>SUBTOTAL(9,F16:F22)</f>
        <v>1810</v>
      </c>
      <c r="G23" s="1197">
        <f>SUBTOTAL(9,G16:G22)</f>
        <v>2131</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212</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2042</v>
      </c>
      <c r="AC23" s="1198">
        <f t="shared" si="5"/>
        <v>199</v>
      </c>
      <c r="AD23" s="1198">
        <f t="shared" si="5"/>
        <v>0</v>
      </c>
      <c r="AE23" s="1198">
        <f t="shared" si="5"/>
        <v>0</v>
      </c>
      <c r="AF23" s="1198">
        <f t="shared" si="5"/>
        <v>2455</v>
      </c>
      <c r="AG23" s="1198">
        <f t="shared" si="5"/>
        <v>0</v>
      </c>
      <c r="AH23" s="1198">
        <f t="shared" si="5"/>
        <v>0</v>
      </c>
      <c r="AI23" s="1198">
        <f t="shared" si="5"/>
        <v>0</v>
      </c>
      <c r="AJ23" s="1198">
        <f t="shared" si="5"/>
        <v>0</v>
      </c>
      <c r="AK23" s="1198">
        <f t="shared" si="5"/>
        <v>0</v>
      </c>
      <c r="AL23" s="1198">
        <f t="shared" si="5"/>
        <v>0</v>
      </c>
      <c r="AM23" s="1198">
        <f t="shared" si="5"/>
        <v>465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321</v>
      </c>
      <c r="BD23" s="1198">
        <f t="shared" si="5"/>
        <v>1021</v>
      </c>
      <c r="BE23" s="1198">
        <f t="shared" si="5"/>
        <v>0</v>
      </c>
      <c r="BF23" s="1198">
        <f t="shared" si="5"/>
        <v>0</v>
      </c>
      <c r="BG23" s="1198">
        <f>IF(ISNUMBER(Datos!K23/Datos!J23),Datos!K23/Datos!J23," - ")</f>
        <v>0.86452159187129551</v>
      </c>
      <c r="BH23" s="1202">
        <f>IF(ISNUMBER(((Datos!L23/Datos!K23)*11)/factor_trimestre),((Datos!L23/Datos!K23)*11)/factor_trimestre," - ")</f>
        <v>2.4045053868756123</v>
      </c>
      <c r="BI23" s="1198">
        <f>SUBTOTAL(9,BI16:BI22)</f>
        <v>0.23701996927803379</v>
      </c>
      <c r="BJ23" s="1198">
        <f>SUBTOTAL(9,BJ16:BJ22)</f>
        <v>0</v>
      </c>
      <c r="BK23" s="1198">
        <f>SUBTOTAL(9,BK16:BK22)</f>
        <v>0</v>
      </c>
      <c r="BL23" s="1198">
        <f>IF(ISNUMBER((I23-AB23+L23)/(F23)),(I23-AB23+L23)/(F23)," - ")</f>
        <v>-1.1281767955801105</v>
      </c>
      <c r="BM23" s="1205">
        <f>IF(ISNUMBER((Datos!P23-Datos!Q23)/(Datos!R23-Datos!P23+Datos!Q23)),(Datos!P23-Datos!Q23)/(Datos!R23-Datos!P23+Datos!Q23)," - ")</f>
        <v>2.8761061946902654E-2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11</v>
      </c>
      <c r="F31" s="1117">
        <f t="shared" si="18"/>
        <v>1869</v>
      </c>
      <c r="G31" s="1117">
        <f t="shared" si="18"/>
        <v>2190</v>
      </c>
      <c r="H31" s="1119">
        <f t="shared" si="18"/>
        <v>0</v>
      </c>
      <c r="I31" s="1117">
        <f t="shared" si="18"/>
        <v>0</v>
      </c>
      <c r="J31" s="1119">
        <f t="shared" si="18"/>
        <v>0</v>
      </c>
      <c r="K31" s="1119">
        <f t="shared" si="18"/>
        <v>0</v>
      </c>
      <c r="L31" s="1180">
        <f t="shared" si="18"/>
        <v>0</v>
      </c>
      <c r="M31" s="1180">
        <f t="shared" si="18"/>
        <v>0</v>
      </c>
      <c r="N31" s="1180">
        <f t="shared" si="18"/>
        <v>304</v>
      </c>
      <c r="O31" s="1180">
        <f t="shared" si="18"/>
        <v>0</v>
      </c>
      <c r="P31" s="1180">
        <f t="shared" si="18"/>
        <v>0</v>
      </c>
      <c r="Q31" s="1119">
        <f t="shared" si="18"/>
        <v>796</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2067</v>
      </c>
      <c r="AC31" s="1118">
        <f t="shared" si="19"/>
        <v>1164</v>
      </c>
      <c r="AD31" s="1118">
        <f t="shared" si="19"/>
        <v>0</v>
      </c>
      <c r="AE31" s="1118">
        <f t="shared" si="19"/>
        <v>0</v>
      </c>
      <c r="AF31" s="1125">
        <f t="shared" si="19"/>
        <v>2545</v>
      </c>
      <c r="AG31" s="1125">
        <f t="shared" si="19"/>
        <v>0</v>
      </c>
      <c r="AH31" s="1125">
        <f t="shared" si="19"/>
        <v>370</v>
      </c>
      <c r="AI31" s="1125">
        <f t="shared" si="19"/>
        <v>0</v>
      </c>
      <c r="AJ31" s="1118">
        <f t="shared" si="19"/>
        <v>0</v>
      </c>
      <c r="AK31" s="1125">
        <f t="shared" si="19"/>
        <v>0</v>
      </c>
      <c r="AL31" s="1125">
        <f t="shared" si="19"/>
        <v>0</v>
      </c>
      <c r="AM31" s="1125">
        <f t="shared" si="19"/>
        <v>9323</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626</v>
      </c>
      <c r="BD31" s="1117">
        <f t="shared" si="19"/>
        <v>1809</v>
      </c>
      <c r="BE31" s="1117">
        <f t="shared" si="19"/>
        <v>0</v>
      </c>
      <c r="BF31" s="1127">
        <f t="shared" si="19"/>
        <v>0</v>
      </c>
      <c r="BG31" s="1223">
        <f>IF(ISNUMBER(Datos!K31/Datos!J31),Datos!K31/Datos!J31," - ")</f>
        <v>0.84087791495198905</v>
      </c>
      <c r="BH31" s="1223">
        <f>IF(ISNUMBER(((Datos!L31/Datos!K31)*11)/factor_trimestre),((Datos!L31/Datos!K31)*11)/factor_trimestre," - ")</f>
        <v>3.5622620989668303</v>
      </c>
      <c r="BI31" s="1103">
        <f>IF(ISNUMBER(Datos!J31/Datos!I31),Datos!J31/Datos!I31," - ")</f>
        <v>0.77210944395410419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-1.1059390048154094</v>
      </c>
      <c r="BM31" s="1188">
        <f>IF(ISNUMBER((Datos!P31-Datos!Q31+R31)/(Datos!R31-Datos!P31+Datos!Q31-R31)),(Datos!P31-Datos!Q31+R31)/(Datos!R31-Datos!P31+Datos!Q31-R31)," - ")</f>
        <v>-3.7973377360437523E-2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625.71428571428567</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2.1924911730403043</v>
      </c>
      <c r="F33" s="673">
        <f>IF(ISNUMBER(STDEV(F8:F30)),STDEV(F8:F30),"-")</f>
        <v>919.82476592011801</v>
      </c>
      <c r="G33" s="674">
        <f>IF(ISNUMBER(STDEV(G8:G30)),STDEV(G8:G30),"-")</f>
        <v>928.68683531922545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932.94477456114862</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162.91014175217663</v>
      </c>
      <c r="BD33" s="673"/>
      <c r="BE33" s="673">
        <f>IF(ISNUMBER(STDEV(BE8:BE30)),STDEV(BE8:BE30),"-")</f>
        <v>0</v>
      </c>
      <c r="BF33" s="678">
        <f>IF(ISNUMBER(STDEV(BF8:BF30)),STDEV(BF8:BF30),"-")</f>
        <v>0</v>
      </c>
      <c r="BG33" s="1052">
        <f>IF(ISNUMBER(STDEV(BG8:BG30)),STDEV(BG8:BG30),"-")</f>
        <v>0.16570150274705173</v>
      </c>
      <c r="BH33" s="1058">
        <f>IF(ISNUMBER(STDEV(BH8:BH30)),STDEV(BH8:BH30),"-")</f>
        <v>1.853256157257783</v>
      </c>
      <c r="BI33" s="273">
        <f>IF(ISNUMBER(STDEV(BI8:BI30)),STDEV(BI8:BI30),"-")</f>
        <v>6.7878080731231819E-2</v>
      </c>
      <c r="BJ33" s="244" t="str">
        <f>IF(ISNUMBER(BL33/BM33),BL33/BM33," - ")</f>
        <v xml:space="preserve"> - </v>
      </c>
      <c r="BK33" s="709"/>
      <c r="BL33" s="681">
        <f>IF(ISNUMBER(STDEV(BL8:BL30)),STDEV(BL8:BL30),"-")</f>
        <v>0.49811994508007884</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hX9C5MA/uWd//ofcSAdnVMj3GFdkR0o0SrSQGhaHFkPJtUR3wLw1MN7/luFmTrlDzQXimXEIBN33emc/THv4ag==" saltValue="oAHe/gYZlPaE5HWqVlwpFw=="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COMUNIDAD VALENCIANA</v>
      </c>
    </row>
    <row r="2" spans="1:73" ht="16.5" customHeight="1">
      <c r="C2" s="647" t="str">
        <f>Criterios!A10 &amp;"  "&amp;Criterios!B10 &amp; "  " &amp; IF(NOT(ISBLANK(Criterios!A11)),Criterios!A11 &amp;"  "&amp;Criterios!B11,"")</f>
        <v>Provincias  VALENCIA  Resumenes por Partidos Judiciales  TORRENT</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6</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570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948</v>
      </c>
      <c r="AA9" s="551" t="str">
        <f>IF(ISNUMBER(IF(J_V="SI",Datos!L9,Datos!L9+Datos!AB9)-IF(Monitorios="SI",Datos!CD9,0)),
                          IF(J_V="SI",Datos!L9,Datos!L9+Datos!AB9)-IF(Monitorios="SI",Datos!CD9,0),
                          " - ")</f>
        <v xml:space="preserve"> - </v>
      </c>
      <c r="AB9" s="549"/>
      <c r="AC9" s="549"/>
      <c r="AD9" s="563"/>
      <c r="AE9" s="563">
        <f>IF(ISNUMBER(Datos!R9),Datos!R9," - ")</f>
        <v>8785</v>
      </c>
      <c r="AF9" s="693" t="str">
        <f>IF(ISNUMBER(Datos!BV9),Datos!BV9," - ")</f>
        <v xml:space="preserve"> - </v>
      </c>
      <c r="AG9" s="552" t="str">
        <f>IF(ISNUMBER(Datos!DV9),Datos!DV9," - ")</f>
        <v xml:space="preserve"> - </v>
      </c>
      <c r="AH9" s="553"/>
      <c r="AI9" s="554"/>
      <c r="AJ9" s="552">
        <f>IF(ISNUMBER(Datos!M9),Datos!M9," - ")</f>
        <v>301</v>
      </c>
      <c r="AK9" s="693">
        <f>IF(ISNUMBER(Datos!N9),Datos!N9," - ")</f>
        <v>771</v>
      </c>
      <c r="AL9" s="693" t="str">
        <f>IF(ISNUMBER(Datos!BW9),Datos!BW9," - ")</f>
        <v xml:space="preserve"> - </v>
      </c>
      <c r="AM9" s="762" t="str">
        <f>IF(ISNUMBER(Datos!BX9),Datos!BX9," - ")</f>
        <v xml:space="preserve"> - </v>
      </c>
      <c r="AN9" s="763"/>
      <c r="AO9" s="764">
        <f>IF(ISNUMBER(((NºAsuntos!I9/NºAsuntos!G9)*11)/factor_trimestre),((NºAsuntos!I9/NºAsuntos!G9)*11)/factor_trimestre," - ")</f>
        <v>4.7668845315904136</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-4.1252864782276549E-2</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1</v>
      </c>
      <c r="F10" s="552">
        <f>IF(ISNUMBER(Datos!L10+Datos!K10-Datos!J10),Datos!L10+Datos!K10-Datos!J10," - ")</f>
        <v>59</v>
      </c>
      <c r="G10" s="552">
        <f>IF(ISNUMBER(Datos!I10),Datos!I10," - ")</f>
        <v>59</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14</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25</v>
      </c>
      <c r="Z10" s="805">
        <f>IF(ISNUMBER(Datos!Q10),Datos!Q10," - ")</f>
        <v>17</v>
      </c>
      <c r="AA10" s="551">
        <f>IF(ISNUMBER(Datos!L10),Datos!L10,"-")</f>
        <v>90</v>
      </c>
      <c r="AB10" s="549"/>
      <c r="AC10" s="549"/>
      <c r="AD10" s="563"/>
      <c r="AE10" s="563">
        <f>IF(ISNUMBER(Datos!R10),Datos!R10," - ")</f>
        <v>73</v>
      </c>
      <c r="AF10" s="693" t="str">
        <f>IF(ISNUMBER(Datos!BV10),Datos!BV10," - ")</f>
        <v xml:space="preserve"> - </v>
      </c>
      <c r="AG10" s="552" t="str">
        <f>IF(ISNUMBER(Datos!DV10),Datos!DV10," - ")</f>
        <v xml:space="preserve"> - </v>
      </c>
      <c r="AH10" s="553"/>
      <c r="AI10" s="554"/>
      <c r="AJ10" s="552">
        <f>IF(ISNUMBER(Datos!M10),Datos!M10," - ")</f>
        <v>4</v>
      </c>
      <c r="AK10" s="693">
        <f>IF(ISNUMBER(Datos!N10),Datos!N10," - ")</f>
        <v>17</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7.2</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-3.9473684210526314E-2</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7</v>
      </c>
      <c r="F14" s="1197">
        <f>SUBTOTAL(9,F8:F13)</f>
        <v>59</v>
      </c>
      <c r="G14" s="1197">
        <f>SUBTOTAL(9,G8:G13)</f>
        <v>59</v>
      </c>
      <c r="H14" s="1211"/>
      <c r="I14" s="1197">
        <f t="shared" ref="I14:N14" si="1">SUBTOTAL(9,I8:I13)</f>
        <v>0</v>
      </c>
      <c r="J14" s="1164">
        <f t="shared" si="1"/>
        <v>0</v>
      </c>
      <c r="K14" s="1211">
        <f t="shared" si="1"/>
        <v>0</v>
      </c>
      <c r="L14" s="1211">
        <f t="shared" si="1"/>
        <v>0</v>
      </c>
      <c r="M14" s="1211">
        <f t="shared" si="1"/>
        <v>0</v>
      </c>
      <c r="N14" s="1211">
        <f t="shared" si="1"/>
        <v>584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25</v>
      </c>
      <c r="Z14" s="1210">
        <f t="shared" si="3"/>
        <v>965</v>
      </c>
      <c r="AA14" s="1199">
        <f t="shared" si="3"/>
        <v>90</v>
      </c>
      <c r="AB14" s="1199">
        <f t="shared" si="3"/>
        <v>0</v>
      </c>
      <c r="AC14" s="1199">
        <f t="shared" si="3"/>
        <v>0</v>
      </c>
      <c r="AD14" s="1199">
        <f t="shared" si="3"/>
        <v>0</v>
      </c>
      <c r="AE14" s="1199">
        <f t="shared" si="3"/>
        <v>8858</v>
      </c>
      <c r="AF14" s="1211">
        <f t="shared" si="3"/>
        <v>0</v>
      </c>
      <c r="AG14" s="1211">
        <f t="shared" si="3"/>
        <v>0</v>
      </c>
      <c r="AH14" s="1211">
        <f t="shared" si="3"/>
        <v>0</v>
      </c>
      <c r="AI14" s="1211">
        <f t="shared" si="3"/>
        <v>0</v>
      </c>
      <c r="AJ14" s="1211">
        <f t="shared" si="3"/>
        <v>305</v>
      </c>
      <c r="AK14" s="1211">
        <f t="shared" si="3"/>
        <v>788</v>
      </c>
      <c r="AL14" s="1211">
        <f t="shared" si="3"/>
        <v>0</v>
      </c>
      <c r="AM14" s="1211">
        <f t="shared" si="3"/>
        <v>0</v>
      </c>
      <c r="AN14" s="1211">
        <f t="shared" si="3"/>
        <v>0</v>
      </c>
      <c r="AO14" s="1203">
        <f>IF(ISNUMBER(((NºAsuntos!I14/NºAsuntos!G14)*11)/factor_trimestre),((NºAsuntos!I14/NºAsuntos!G14)*11)/factor_trimestre," - ")</f>
        <v>4.7995701235894677</v>
      </c>
      <c r="AP14" s="1213" t="str">
        <f>IF(ISNUMBER(Datos!CI14/Datos!CJ14),Datos!CI14/Datos!CJ14," - ")</f>
        <v xml:space="preserve"> - </v>
      </c>
      <c r="AQ14" s="1236">
        <f t="shared" ref="AQ14:AV14" si="4">SUBTOTAL(9,AQ9:AQ13)</f>
        <v>0</v>
      </c>
      <c r="AR14" s="1236">
        <f t="shared" si="4"/>
        <v>-8.0726548992802863E-2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3</v>
      </c>
      <c r="B16" s="746" t="s">
        <v>511</v>
      </c>
      <c r="C16" s="765" t="str">
        <f>Datos!A16</f>
        <v xml:space="preserve">Jdos. Instrucción                               </v>
      </c>
      <c r="D16" s="593"/>
      <c r="E16" s="1558">
        <f>IF(ISNUMBER(Datos!AQ16),Datos!AQ16," - ")</f>
        <v>3</v>
      </c>
      <c r="F16" s="543">
        <f>IF(ISNUMBER(AA16+Y16-Datos!J16-K16),AA16+Y16-Datos!J16-K16," - ")</f>
        <v>1810</v>
      </c>
      <c r="G16" s="552">
        <f>IF(ISNUMBER(IF(D_I="SI",Datos!I16,Datos!I16+Datos!AC16)),IF(D_I="SI",Datos!I16,Datos!I16+Datos!AC16)," - ")</f>
        <v>1806</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211</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1860</v>
      </c>
      <c r="Z16" s="805">
        <f>IF(ISNUMBER(Datos!Q16),Datos!Q16," - ")</f>
        <v>198</v>
      </c>
      <c r="AA16" s="551">
        <f>IF(ISNUMBER(IF(D_I="SI",Datos!L16,Datos!L16+Datos!AF16)),IF(D_I="SI",Datos!L16,Datos!L16+Datos!AF16)," - ")</f>
        <v>2044</v>
      </c>
      <c r="AB16" s="549"/>
      <c r="AC16" s="549"/>
      <c r="AD16" s="563"/>
      <c r="AE16" s="563">
        <f>IF(ISNUMBER(Datos!R16),Datos!R16," - ")</f>
        <v>461</v>
      </c>
      <c r="AF16" s="693" t="str">
        <f>IF(ISNUMBER(Datos!BV16),Datos!BV16," - ")</f>
        <v xml:space="preserve"> - </v>
      </c>
      <c r="AG16" s="552"/>
      <c r="AH16" s="553"/>
      <c r="AI16" s="554"/>
      <c r="AJ16" s="552">
        <f>IF(ISNUMBER(Datos!M16),Datos!M16," - ")</f>
        <v>308</v>
      </c>
      <c r="AK16" s="693">
        <f>IF(ISNUMBER(Datos!N16),Datos!N16," - ")</f>
        <v>923</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2.1978494623655913</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0</v>
      </c>
      <c r="B17" s="746" t="s">
        <v>511</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325</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182</v>
      </c>
      <c r="Z18" s="805">
        <f>IF(ISNUMBER(Datos!Q18),Datos!Q18," - ")</f>
        <v>1</v>
      </c>
      <c r="AA18" s="551">
        <f>IF(ISNUMBER(Datos!L18),Datos!L18,"-")</f>
        <v>411</v>
      </c>
      <c r="AB18" s="549"/>
      <c r="AC18" s="549"/>
      <c r="AD18" s="563"/>
      <c r="AE18" s="563">
        <f>IF(ISNUMBER(Datos!R18),Datos!R18," - ")</f>
        <v>4</v>
      </c>
      <c r="AF18" s="693" t="str">
        <f>IF(ISNUMBER(Datos!BV18),Datos!BV18," - ")</f>
        <v xml:space="preserve"> - </v>
      </c>
      <c r="AG18" s="552" t="str">
        <f>IF(ISNUMBER(Datos!DV18),Datos!DV18," - ")</f>
        <v xml:space="preserve"> - </v>
      </c>
      <c r="AH18" s="553"/>
      <c r="AI18" s="554"/>
      <c r="AJ18" s="552">
        <f>IF(ISNUMBER(Datos!M18),Datos!M18," - ")</f>
        <v>13</v>
      </c>
      <c r="AK18" s="693">
        <f>IF(ISNUMBER(Datos!N18),Datos!N18," - ")</f>
        <v>98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4.5164835164835164</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4</v>
      </c>
      <c r="F23" s="1197">
        <f>SUBTOTAL(9,F16:F22)</f>
        <v>1810</v>
      </c>
      <c r="G23" s="1197">
        <f>SUBTOTAL(9,G16:G22)</f>
        <v>2131</v>
      </c>
      <c r="H23" s="1240">
        <f>SUBTOTAL(9,H16:H22)</f>
        <v>0</v>
      </c>
      <c r="I23" s="1217">
        <f>SUBTOTAL(9,I16:I22)</f>
        <v>0</v>
      </c>
      <c r="J23" s="1164">
        <f>SUBTOTAL(9,J15:J22)</f>
        <v>0</v>
      </c>
      <c r="K23" s="1240">
        <f t="shared" ref="K23:S23" si="5">SUBTOTAL(9,K16:K22)</f>
        <v>0</v>
      </c>
      <c r="L23" s="1240">
        <f t="shared" si="5"/>
        <v>0</v>
      </c>
      <c r="M23" s="1240">
        <f t="shared" si="5"/>
        <v>0</v>
      </c>
      <c r="N23" s="1240">
        <f t="shared" si="5"/>
        <v>212</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2042</v>
      </c>
      <c r="Z23" s="1240">
        <f t="shared" si="6"/>
        <v>199</v>
      </c>
      <c r="AA23" s="1240">
        <f t="shared" si="6"/>
        <v>2455</v>
      </c>
      <c r="AB23" s="1240">
        <f t="shared" si="6"/>
        <v>0</v>
      </c>
      <c r="AC23" s="1240">
        <f t="shared" si="6"/>
        <v>0</v>
      </c>
      <c r="AD23" s="1240">
        <f t="shared" si="6"/>
        <v>0</v>
      </c>
      <c r="AE23" s="1240">
        <f t="shared" si="6"/>
        <v>465</v>
      </c>
      <c r="AF23" s="1240">
        <f t="shared" si="6"/>
        <v>0</v>
      </c>
      <c r="AG23" s="1240">
        <f t="shared" si="6"/>
        <v>0</v>
      </c>
      <c r="AH23" s="1240">
        <f t="shared" si="6"/>
        <v>0</v>
      </c>
      <c r="AI23" s="1240">
        <f t="shared" si="6"/>
        <v>0</v>
      </c>
      <c r="AJ23" s="1240">
        <f t="shared" si="6"/>
        <v>321</v>
      </c>
      <c r="AK23" s="1240">
        <f t="shared" si="6"/>
        <v>1021</v>
      </c>
      <c r="AL23" s="1240">
        <f t="shared" si="6"/>
        <v>0</v>
      </c>
      <c r="AM23" s="1240">
        <f t="shared" si="6"/>
        <v>0</v>
      </c>
      <c r="AN23" s="1240">
        <f t="shared" si="6"/>
        <v>0</v>
      </c>
      <c r="AO23" s="1242">
        <f>IF(ISNUMBER(((NºAsuntos!I23/NºAsuntos!G23)*11)/factor_trimestre),((NºAsuntos!I23/NºAsuntos!G23)*11)/factor_trimestre," - ")</f>
        <v>2.4045053868756123</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11</v>
      </c>
      <c r="F31" s="1117">
        <f t="shared" si="12"/>
        <v>1869</v>
      </c>
      <c r="G31" s="1117">
        <f t="shared" si="12"/>
        <v>2190</v>
      </c>
      <c r="H31" s="1118">
        <f t="shared" si="12"/>
        <v>0</v>
      </c>
      <c r="I31" s="1117">
        <f t="shared" si="12"/>
        <v>0</v>
      </c>
      <c r="J31" s="1119">
        <f t="shared" si="12"/>
        <v>0</v>
      </c>
      <c r="K31" s="1117">
        <f t="shared" si="12"/>
        <v>0</v>
      </c>
      <c r="L31" s="1120">
        <f t="shared" si="12"/>
        <v>0</v>
      </c>
      <c r="M31" s="1117">
        <f t="shared" si="12"/>
        <v>0</v>
      </c>
      <c r="N31" s="1118">
        <f t="shared" si="12"/>
        <v>796</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2067</v>
      </c>
      <c r="Z31" s="1124">
        <f t="shared" si="13"/>
        <v>1164</v>
      </c>
      <c r="AA31" s="1125">
        <f t="shared" si="13"/>
        <v>2545</v>
      </c>
      <c r="AB31" s="1125">
        <f t="shared" si="13"/>
        <v>0</v>
      </c>
      <c r="AC31" s="1125">
        <f t="shared" si="13"/>
        <v>0</v>
      </c>
      <c r="AD31" s="1126">
        <f t="shared" si="13"/>
        <v>0</v>
      </c>
      <c r="AE31" s="1126">
        <f t="shared" si="13"/>
        <v>9323</v>
      </c>
      <c r="AF31" s="1127">
        <f t="shared" si="13"/>
        <v>0</v>
      </c>
      <c r="AG31" s="1128">
        <f t="shared" si="13"/>
        <v>0</v>
      </c>
      <c r="AH31" s="1129">
        <f t="shared" si="13"/>
        <v>0</v>
      </c>
      <c r="AI31" s="1127">
        <f t="shared" si="13"/>
        <v>0</v>
      </c>
      <c r="AJ31" s="1117">
        <f t="shared" si="13"/>
        <v>626</v>
      </c>
      <c r="AK31" s="1117">
        <f t="shared" si="13"/>
        <v>1809</v>
      </c>
      <c r="AL31" s="1117">
        <f t="shared" si="13"/>
        <v>0</v>
      </c>
      <c r="AM31" s="1130">
        <f t="shared" si="13"/>
        <v>0</v>
      </c>
      <c r="AN31" s="1120">
        <f>IF(ISNUMBER(Datos!K31/Datos!J31),Datos!K31/Datos!J31," - ")</f>
        <v>0.84087791495198905</v>
      </c>
      <c r="AO31" s="1120">
        <f>IF(ISNUMBER(FIND("06",Criterios!A8,1)),(IF(ISNUMBER(((Datos!R31/Datos!Q31)*11)/factor_trimestre),((Datos!R31/Datos!Q31)*11)/factor_trimestre," - ")),(IF(ISNUMBER(((Datos!L31/Datos!K31)*11)/factor_trimestre),((Datos!L31/Datos!K31)*11)/factor_trimestre," - ")))</f>
        <v>3.5622620989668303</v>
      </c>
      <c r="AP31" s="1131" t="str">
        <f>IF(ISNUMBER(Datos!CI31/Datos!CJ31),Datos!CI31/Datos!CJ31," - ")</f>
        <v xml:space="preserve"> - </v>
      </c>
      <c r="AQ31" s="1131">
        <f>IF(OR(ISNUMBER(FIND("01",Criterios!A8,1)),ISNUMBER(FIND("02",Criterios!A8,1)),ISNUMBER(FIND("03",Criterios!A8,1)),ISNUMBER(FIND("04",Criterios!A8,1))),(J31-Y31+K31)/(F31-K31),(I31-Y31+K31)/(F31-K31))</f>
        <v>-1.1059390048154094</v>
      </c>
      <c r="AR31" s="1131">
        <f>IF(ISNUMBER((Datos!P31-Datos!Q31+O31)/(Datos!R31-Datos!P31+Datos!Q31-O31)),(Datos!P31-Datos!Q31+O31)/(Datos!R31-Datos!P31+Datos!Q31-O31)," - ")</f>
        <v>-3.7973377360437523E-2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625.71428571428567</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919.82476592011801</v>
      </c>
      <c r="G33" s="674">
        <f>IF(ISNUMBER(STDEV(G8:G30)),STDEV(G8:G30),"-")</f>
        <v>928.68683531922545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162.91014175217663</v>
      </c>
      <c r="AK33" s="276"/>
      <c r="AL33" s="276">
        <f>IF(ISNUMBER(STDEV(AL8:AL30)),STDEV(AL8:AL30),"-")</f>
        <v>0</v>
      </c>
      <c r="AM33" s="278">
        <f>IF(ISNUMBER(STDEV(AM8:AM30)),STDEV(AM8:AM30),"-")</f>
        <v>0</v>
      </c>
      <c r="AN33" s="660">
        <f>IF(ISNUMBER(STDEV(AN8:AN30)),STDEV(AN8:AN30),"-")</f>
        <v>0</v>
      </c>
      <c r="AO33" s="661">
        <f>IF(ISNUMBER(STDEV(AO8:AO30)),STDEV(AO8:AO30),"-")</f>
        <v>1.8403880468615856</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xff3U6HCL95mhikbwRhwcvlj2oL7dSCVEa6Pef+JZkZfjqCORn5akrdivV1nVJD4b3vsPmjjj1TRGWsECHEh8Q==" saltValue="14ex7uem8Ss1+WROIqGcP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Vj4MPLWBWoiz3XtY0TrRu+z3lLRaSn77RfWTn3v8ietqXfN6g9xxg27Mdk5au4Mg/gVmcfTGMfh1JYq9PXTtgg==" saltValue="rKix0FF0S+aawbcUBWi3EA=="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z6zRbLxAg7YHLH3mEct68wSUBXZfo5+QHL14V+t0QedCbfjnjcZHbUFD5KR4awXUsAdsHPKdc+9+N+2Fgn89A==" saltValue="xs+iguGvdQx0iLAq13wD7A=="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COMUNIDAD VALENCIANA</v>
      </c>
      <c r="F1" s="856"/>
    </row>
    <row r="2" spans="1:75" ht="16.5" customHeight="1">
      <c r="C2" s="567" t="str">
        <f>Criterios!A10 &amp;"  "&amp;Criterios!B10 &amp; "  " &amp; IF(NOT(ISBLANK(Criterios!A11)),Criterios!A11 &amp;"  "&amp;Criterios!B11,"")</f>
        <v>Provincias  VALENCIA  Resumenes por Partidos Judiciales  TORRENT</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0.16389038151531435</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0.11588800014072918</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f29qBP+GFd1K93AOF9wz07Gew+YU/N62CMOP15BAnhoL0JRdT2cF0mme9Z8wfNmZEeSBKjXITwFaPNY+36Uh/Q==" saltValue="PLKQFLtQutcJB2x4acnBuQ=="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h/WRvhd2WIOcKvjrW0h6V0d4nJV07PzJi/Iwr+9rqSg44VRjAPH5uC11+d6Df4S5RtppRitAqaBJ9MmP+/eNNw==" saltValue="zeF6Tetqlh5/jdI4YmX6HA=="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COMUNIDAD VALENCIANA</v>
      </c>
      <c r="C2" s="436"/>
      <c r="D2" s="436"/>
      <c r="E2" s="436"/>
      <c r="F2" s="436"/>
    </row>
    <row r="3" spans="1:14" ht="19.5">
      <c r="A3" s="438" t="s">
        <v>159</v>
      </c>
      <c r="B3" s="439" t="str">
        <f>Criterios!A10 &amp;"  "&amp;Criterios!B10</f>
        <v>Provincias  VALENCIA</v>
      </c>
      <c r="D3" s="436"/>
      <c r="E3" s="436"/>
      <c r="F3" s="436"/>
    </row>
    <row r="4" spans="1:14" ht="13.5" thickBot="1">
      <c r="A4" s="436"/>
      <c r="B4" s="439" t="str">
        <f>Criterios!A11 &amp;"  "&amp;Criterios!B11</f>
        <v>Resumenes por Partidos Judiciales  TORRENT</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6</v>
      </c>
      <c r="C9" s="451">
        <f>IF(ISNUMBER(IF(J_V="SI",Datos!I9,Datos!I9+Datos!Y9)),IF(J_V="SI",Datos!I9,Datos!I9+Datos!Y9)," - ")</f>
        <v>3766</v>
      </c>
      <c r="D9" s="452">
        <f>IF(ISNUMBER(C9/Datos!BH9),C9/Datos!BH9," - ")</f>
        <v>627.66666666666663</v>
      </c>
      <c r="E9" s="451">
        <f>IF(ISNUMBER(IF(J_V="SI",Datos!J9,Datos!J9+Datos!Z9)),IF(J_V="SI",Datos!J9,Datos!J9+Datos!Z9)," - ")</f>
        <v>2260</v>
      </c>
      <c r="F9" s="452">
        <f>IF(ISNUMBER(E9/B9),E9/B9," - ")</f>
        <v>376.66666666666669</v>
      </c>
      <c r="G9" s="451">
        <f>IF(ISNUMBER(IF(J_V="SI",Datos!K9,Datos!K9+Datos!AA9)),IF(J_V="SI",Datos!K9,Datos!K9+Datos!AA9)," - ")</f>
        <v>1836</v>
      </c>
      <c r="H9" s="452">
        <f>IF(ISNUMBER(G9/B9),G9/B9," - ")</f>
        <v>306</v>
      </c>
      <c r="I9" s="451">
        <f>IF(ISNUMBER(IF(J_V="SI",Datos!L9,Datos!L9+Datos!AB9)),IF(J_V="SI",Datos!L9,Datos!L9+Datos!AB9)," - ")</f>
        <v>4376</v>
      </c>
      <c r="J9" s="452">
        <f>IF(ISNUMBER(I9/B9),I9/B9," - ")</f>
        <v>729.33333333333337</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59</v>
      </c>
      <c r="D10" s="452">
        <f>IF(ISNUMBER(C10/Datos!BH10),C10/Datos!BH10," - ")</f>
        <v>59</v>
      </c>
      <c r="E10" s="451">
        <f>IF(ISNUMBER(Datos!J10),Datos!J10," - ")</f>
        <v>56</v>
      </c>
      <c r="F10" s="452">
        <f>IF(ISNUMBER(E10/B10),E10/B10," - ")</f>
        <v>56</v>
      </c>
      <c r="G10" s="451">
        <f>IF(ISNUMBER(Datos!K10),Datos!K10," - ")</f>
        <v>25</v>
      </c>
      <c r="H10" s="452">
        <f>IF(ISNUMBER(G10/B10),G10/B10," - ")</f>
        <v>25</v>
      </c>
      <c r="I10" s="451">
        <f>IF(ISNUMBER(Datos!L10),Datos!L10," - ")</f>
        <v>90</v>
      </c>
      <c r="J10" s="452">
        <f>IF(ISNUMBER(I10/B10),I10/B10," - ")</f>
        <v>90</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7</v>
      </c>
      <c r="C14" s="1146">
        <f>SUBTOTAL(9,C8:C13)</f>
        <v>3825</v>
      </c>
      <c r="D14" s="1147" t="str">
        <f>IF(ISNUMBER(C14/Datos!BI14),C14/Datos!BI14," - ")</f>
        <v xml:space="preserve"> - </v>
      </c>
      <c r="E14" s="1146">
        <f>SUBTOTAL(9,E8:E13)</f>
        <v>2316</v>
      </c>
      <c r="F14" s="1147">
        <f>IF(ISNUMBER(E14/B14),E14/B14," - ")</f>
        <v>330.85714285714283</v>
      </c>
      <c r="G14" s="1146">
        <f>SUBTOTAL(9,G8:G13)</f>
        <v>1861</v>
      </c>
      <c r="H14" s="1147">
        <f>IF(ISNUMBER(G14/B14),G14/B14," - ")</f>
        <v>265.85714285714283</v>
      </c>
      <c r="I14" s="1146">
        <f>SUBTOTAL(9,I8:I13)</f>
        <v>4466</v>
      </c>
      <c r="J14" s="1147">
        <f>IF(ISNUMBER(I14/B14),I14/B14," - ")</f>
        <v>638</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3</v>
      </c>
      <c r="C16" s="451">
        <f>IF(ISNUMBER(IF(D_I="SI",Datos!I16,Datos!I16+Datos!AC16)),IF(D_I="SI",Datos!I16,Datos!I16+Datos!AC16)," - ")</f>
        <v>1806</v>
      </c>
      <c r="D16" s="452">
        <f>IF(ISNUMBER(C16/Datos!BH16),C16/Datos!BH16," - ")</f>
        <v>602</v>
      </c>
      <c r="E16" s="451">
        <f>IF(ISNUMBER(IF(D_I="SI",Datos!J16,Datos!J16+Datos!AD16)),IF(D_I="SI",Datos!J16,Datos!J16+Datos!AD16)," - ")</f>
        <v>2094</v>
      </c>
      <c r="F16" s="452">
        <f>IF(ISNUMBER(E16/B16),E16/B16," - ")</f>
        <v>698</v>
      </c>
      <c r="G16" s="451">
        <f>IF(ISNUMBER(IF(D_I="SI",Datos!K16,Datos!K16+Datos!AE16)),IF(D_I="SI",Datos!K16,Datos!K16+Datos!AE16)," - ")</f>
        <v>1860</v>
      </c>
      <c r="H16" s="452">
        <f>IF(ISNUMBER(G16/B16),G16/B16," - ")</f>
        <v>620</v>
      </c>
      <c r="I16" s="451">
        <f>IF(ISNUMBER(IF(D_I="SI",Datos!L16,Datos!L16+Datos!AF16)),IF(D_I="SI",Datos!L16,Datos!L16+Datos!AF16)," - ")</f>
        <v>2044</v>
      </c>
      <c r="J16" s="452">
        <f>IF(ISNUMBER(I16/B16),I16/B16," - ")</f>
        <v>681.33333333333337</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325</v>
      </c>
      <c r="D18" s="452">
        <f>IF(ISNUMBER(C18/Datos!BH18),C18/Datos!BH18," - ")</f>
        <v>325</v>
      </c>
      <c r="E18" s="451">
        <f>IF(ISNUMBER(IF(D_I="SI",Datos!J18,Datos!J18+Datos!AD18)),IF(D_I="SI",Datos!J18,Datos!J18+Datos!AD18)," - ")</f>
        <v>268</v>
      </c>
      <c r="F18" s="452">
        <f>IF(ISNUMBER(E18/B18),E18/B18," - ")</f>
        <v>268</v>
      </c>
      <c r="G18" s="451">
        <f>IF(ISNUMBER(IF(D_I="SI",Datos!K18,Datos!K18+Datos!AE18)),IF(D_I="SI",Datos!K18,Datos!K18+Datos!AE18)," - ")</f>
        <v>182</v>
      </c>
      <c r="H18" s="452">
        <f>IF(ISNUMBER(G18/B18),G18/B18," - ")</f>
        <v>182</v>
      </c>
      <c r="I18" s="451">
        <f>IF(ISNUMBER(IF(D_I="SI",Datos!L18,Datos!L18+Datos!AF18)),IF(D_I="SI",Datos!L18,Datos!L18+Datos!AF18)," - ")</f>
        <v>411</v>
      </c>
      <c r="J18" s="452">
        <f>IF(ISNUMBER(I18/B18),I18/B18," - ")</f>
        <v>411</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4</v>
      </c>
      <c r="C23" s="1146">
        <f>SUBTOTAL(9,C15:C22)</f>
        <v>2131</v>
      </c>
      <c r="D23" s="1147" t="str">
        <f>IF(ISNUMBER(C23/Datos!BI23),C23/Datos!BI23," - ")</f>
        <v xml:space="preserve"> - </v>
      </c>
      <c r="E23" s="1146">
        <f>SUBTOTAL(9,E15:E22)</f>
        <v>2362</v>
      </c>
      <c r="F23" s="1147">
        <f>IF(ISNUMBER(E23/B23),E23/B23," - ")</f>
        <v>590.5</v>
      </c>
      <c r="G23" s="1146">
        <f>SUBTOTAL(9,G15:G22)</f>
        <v>2042</v>
      </c>
      <c r="H23" s="1147">
        <f>IF(ISNUMBER(G23/B23),G23/B23," - ")</f>
        <v>510.5</v>
      </c>
      <c r="I23" s="1146">
        <f>SUBTOTAL(9,I15:I22)</f>
        <v>2455</v>
      </c>
      <c r="J23" s="1147">
        <f>IF(ISNUMBER(I23/B23),I23/B23," - ")</f>
        <v>613.75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10</v>
      </c>
      <c r="C31" s="1084">
        <f>SUBTOTAL(9,C9:C30)</f>
        <v>5956</v>
      </c>
      <c r="D31" s="1085" t="str">
        <f>IF(ISNUMBER(C31/Datos!BI31),C31/Datos!BI31," - ")</f>
        <v xml:space="preserve"> - </v>
      </c>
      <c r="E31" s="1084">
        <f>SUBTOTAL(9,E9:E30)</f>
        <v>4678</v>
      </c>
      <c r="F31" s="1085">
        <f>IF(ISNUMBER(E31/B31),E31/B31," - ")</f>
        <v>467.8</v>
      </c>
      <c r="G31" s="1084">
        <f>SUBTOTAL(9,G9:G30)</f>
        <v>3903</v>
      </c>
      <c r="H31" s="1085">
        <f>IF(ISNUMBER(G31/B31),G31/B31," - ")</f>
        <v>390.3</v>
      </c>
      <c r="I31" s="1084">
        <f>SUBTOTAL(9,I9:I30)</f>
        <v>6921</v>
      </c>
      <c r="J31" s="1085">
        <f>IF(ISNUMBER(I31/B31),I31/B31," - ")</f>
        <v>692.1</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tmVuzEosP/t+gJI4R78LU5fvkgmZEO4UPxnPK9HB3zDL47mE1xyUmC209qeYkmK3rffRLVNZO67p83LQp/ydvA==" saltValue="EUqZRzFNmgg16jVO29ZJQA=="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COMUNIDAD VALENCIANA</v>
      </c>
      <c r="F1" s="856"/>
      <c r="W1"/>
      <c r="X1"/>
      <c r="BE1" s="856"/>
    </row>
    <row r="2" spans="1:65" ht="16.5" customHeight="1">
      <c r="C2" s="567" t="str">
        <f>Criterios!A10 &amp;"  "&amp;Criterios!B10 &amp; "  " &amp; IF(NOT(ISBLANK(Criterios!A11)),Criterios!A11 &amp;"  "&amp;Criterios!B11,"")</f>
        <v>Provincias  VALENCIA  Resumenes por Partidos Judiciales  TORRENT</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6</v>
      </c>
      <c r="B9" s="745" t="s">
        <v>321</v>
      </c>
      <c r="C9" s="765" t="str">
        <f>Datos!A9</f>
        <v xml:space="preserve">Jdos. 1ª Instancia   </v>
      </c>
      <c r="D9" s="593"/>
      <c r="E9" s="904">
        <f>IF(ISNUMBER(Datos!AQ9),Datos!AQ9," - ")</f>
        <v>6</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1</v>
      </c>
      <c r="F10" s="905">
        <f>IF(ISNUMBER(Datos!L10+Datos!K10-Datos!J10),Datos!L10+Datos!K10-Datos!J10," - ")</f>
        <v>59</v>
      </c>
      <c r="G10" s="906">
        <f>IF(ISNUMBER(Datos!I10),Datos!I10," - ")</f>
        <v>59</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14</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25</v>
      </c>
      <c r="AC10" s="905" t="str">
        <f>IF(ISNUMBER(IF(D_I="SI",DatosP!K18,DatosP!K18+DatosP!AE18)),IF(D_I="SI",DatosP!K18,DatosP!K18+DatosP!AE18)," - ")</f>
        <v xml:space="preserve"> - </v>
      </c>
      <c r="AD10" s="907"/>
      <c r="AE10" s="907"/>
      <c r="AF10" s="910">
        <f>IF(ISNUMBER(Datos!L10),Datos!L10,"-")</f>
        <v>90</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4</v>
      </c>
      <c r="AM10" s="914">
        <f>IF(ISNUMBER(Datos!N10+DatosP!N18),Datos!N10+DatosP!N18," - ")</f>
        <v>17</v>
      </c>
      <c r="AN10" s="914">
        <f>IF(ISNUMBER(Datos!BW10+DatosP!BW18),Datos!BW10+DatosP!BW18," - ")</f>
        <v>0</v>
      </c>
      <c r="AO10" s="915">
        <f>IF(ISNUMBER(Datos!BX10+DatosP!BX18),Datos!BX10+DatosP!BX18," - ")</f>
        <v>0</v>
      </c>
      <c r="AP10" s="917">
        <f>IF(ISNUMBER(((Datos!L10/Datos!K10)*11)/factor_trimestre),((Datos!L10/Datos!K10)*11)/factor_trimestre," - ")</f>
        <v>7.2</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7</v>
      </c>
      <c r="F14" s="1256">
        <f t="shared" si="0"/>
        <v>59</v>
      </c>
      <c r="G14" s="1256">
        <f t="shared" si="0"/>
        <v>59</v>
      </c>
      <c r="H14" s="1256">
        <f t="shared" si="0"/>
        <v>0</v>
      </c>
      <c r="I14" s="1258">
        <f t="shared" si="0"/>
        <v>0</v>
      </c>
      <c r="J14" s="1257">
        <f t="shared" si="0"/>
        <v>0</v>
      </c>
      <c r="K14" s="1257">
        <f t="shared" si="0"/>
        <v>0</v>
      </c>
      <c r="L14" s="1259">
        <f t="shared" si="0"/>
        <v>0</v>
      </c>
      <c r="M14" s="1259">
        <f t="shared" si="0"/>
        <v>0</v>
      </c>
      <c r="N14" s="1257">
        <f t="shared" si="0"/>
        <v>14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25</v>
      </c>
      <c r="AC14" s="1257">
        <f t="shared" si="1"/>
        <v>0</v>
      </c>
      <c r="AD14" s="1257">
        <f t="shared" si="1"/>
        <v>0</v>
      </c>
      <c r="AE14" s="1257">
        <f t="shared" si="1"/>
        <v>0</v>
      </c>
      <c r="AF14" s="1257">
        <f t="shared" si="1"/>
        <v>90</v>
      </c>
      <c r="AG14" s="1257">
        <f t="shared" si="1"/>
        <v>0</v>
      </c>
      <c r="AH14" s="1257">
        <f t="shared" si="1"/>
        <v>0</v>
      </c>
      <c r="AI14" s="1257">
        <f t="shared" si="1"/>
        <v>0</v>
      </c>
      <c r="AJ14" s="1257">
        <f t="shared" si="1"/>
        <v>0</v>
      </c>
      <c r="AK14" s="1257">
        <f t="shared" si="1"/>
        <v>0</v>
      </c>
      <c r="AL14" s="1257">
        <f t="shared" si="1"/>
        <v>4</v>
      </c>
      <c r="AM14" s="1257">
        <f t="shared" si="1"/>
        <v>17</v>
      </c>
      <c r="AN14" s="1257">
        <f t="shared" si="1"/>
        <v>0</v>
      </c>
      <c r="AO14" s="1257">
        <f t="shared" si="1"/>
        <v>0</v>
      </c>
      <c r="AP14" s="1262">
        <f>IF(ISNUMBER(((Datos!L14/Datos!K14)*11)/factor_trimestre),((Datos!L14/Datos!K14)*11)/factor_trimestre," - ")</f>
        <v>5.0073349633251834</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-0.42372881355932202</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3</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2.4045053868756123</v>
      </c>
      <c r="AQ23" s="1262">
        <f>IF(ISNUMBER(((Datos!M23/Datos!L23)*11)/factor_trimestre),((Datos!M23/Datos!L23)*11)/factor_trimestre," - ")</f>
        <v>0.26150712830957229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2.8761061946902654E-2</v>
      </c>
      <c r="AW23" s="1265">
        <f>IF(ISNUMBER((Datos!Q23-Datos!R23)/(Datos!S23-Datos!Q23+Datos!R23)),(Datos!Q23-Datos!R23)/(Datos!S23-Datos!Q23+Datos!R23)," - ")</f>
        <v>-0.11620795107033639</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7</v>
      </c>
      <c r="F31" s="1278">
        <f t="shared" si="8"/>
        <v>59</v>
      </c>
      <c r="G31" s="1278">
        <f t="shared" si="8"/>
        <v>59</v>
      </c>
      <c r="H31" s="1278">
        <f t="shared" si="8"/>
        <v>0</v>
      </c>
      <c r="I31" s="1279">
        <f t="shared" si="8"/>
        <v>0</v>
      </c>
      <c r="J31" s="1280">
        <f t="shared" si="8"/>
        <v>0</v>
      </c>
      <c r="K31" s="1280">
        <f t="shared" si="8"/>
        <v>0</v>
      </c>
      <c r="L31" s="1280">
        <f t="shared" si="8"/>
        <v>0</v>
      </c>
      <c r="M31" s="1280">
        <f t="shared" si="8"/>
        <v>0</v>
      </c>
      <c r="N31" s="1279">
        <f t="shared" si="8"/>
        <v>14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25</v>
      </c>
      <c r="AC31" s="1284">
        <f t="shared" si="9"/>
        <v>0</v>
      </c>
      <c r="AD31" s="1284">
        <f t="shared" si="9"/>
        <v>0</v>
      </c>
      <c r="AE31" s="1284">
        <f t="shared" si="9"/>
        <v>0</v>
      </c>
      <c r="AF31" s="1285">
        <f t="shared" si="9"/>
        <v>90</v>
      </c>
      <c r="AG31" s="1285">
        <f t="shared" si="9"/>
        <v>0</v>
      </c>
      <c r="AH31" s="1285">
        <f t="shared" si="9"/>
        <v>0</v>
      </c>
      <c r="AI31" s="1285">
        <f t="shared" si="9"/>
        <v>0</v>
      </c>
      <c r="AJ31" s="1286">
        <f t="shared" si="9"/>
        <v>0</v>
      </c>
      <c r="AK31" s="1286">
        <f t="shared" si="9"/>
        <v>0</v>
      </c>
      <c r="AL31" s="1278">
        <f t="shared" si="9"/>
        <v>4</v>
      </c>
      <c r="AM31" s="1278">
        <f t="shared" si="9"/>
        <v>17</v>
      </c>
      <c r="AN31" s="1278">
        <f t="shared" si="9"/>
        <v>0</v>
      </c>
      <c r="AO31" s="1278">
        <f t="shared" si="9"/>
        <v>0</v>
      </c>
      <c r="AP31" s="1278">
        <f>IF(ISNUMBER(((Datos!L31/Datos!K31)*11)/factor_trimestre),((Datos!L31/Datos!K31)*11)/factor_trimestre," - ")</f>
        <v>3.5622620989668303</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-0.42372881355932202</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-3.7973377360437523E-2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23.6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2.8333333333333335</v>
      </c>
      <c r="F33" s="1006">
        <f>IF(ISNUMBER(STDEV(F8:F30)),STDEV(F8:F30),"-")</f>
        <v>32.315630892804798</v>
      </c>
      <c r="G33" s="1007">
        <f>IF(ISNUMBER(STDEV(G8:G30)),STDEV(G8:G30),"-")</f>
        <v>32.315630892804798</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13.693063937629153</v>
      </c>
      <c r="AC33" s="1008">
        <f>IF(ISNUMBER(STDEV(AC8:AC30)),STDEV(AC8:AC30),"-")</f>
        <v>0</v>
      </c>
      <c r="AD33" s="1011"/>
      <c r="AE33" s="1011"/>
      <c r="AF33" s="1011"/>
      <c r="AG33" s="1011"/>
      <c r="AH33" s="1011"/>
      <c r="AI33" s="1011"/>
      <c r="AJ33" s="1012">
        <f>IF(ISNUMBER(STDEV(AJ8:AJ30)),STDEV(AJ8:AJ30),"-")</f>
        <v>0</v>
      </c>
      <c r="AK33" s="1014"/>
      <c r="AL33" s="1006">
        <f>IF(ISNUMBER(STDEV(AL8:AL30)),STDEV(AL8:AL30),"-")</f>
        <v>2.1908902300206643</v>
      </c>
      <c r="AM33" s="1006"/>
      <c r="AN33" s="1006">
        <f>IF(ISNUMBER(STDEV(AN8:AN30)),STDEV(AN8:AN30),"-")</f>
        <v>0</v>
      </c>
      <c r="AO33" s="1012">
        <f>IF(ISNUMBER(STDEV(AO8:AO30)),STDEV(AO8:AO30),"-")</f>
        <v>0</v>
      </c>
      <c r="AP33" s="1065">
        <f>IF(ISNUMBER(STDEV(AP8:AP30)),STDEV(AP8:AP30),"-")</f>
        <v>2.4006690161842323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MPyJ/NPqhgp/lW/v8h1vFWPKb4bzzp+NpugpD4SL04UQ4PopYqKzcLNUMbSvCpXaAxt4kqWq4ZsUW3RT/yRRTg==" saltValue="NGE1CHDaGzQqhoTkr2/52g=="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COMUNIDAD VALENCIANA</v>
      </c>
      <c r="C2" s="436"/>
      <c r="E2" s="436"/>
      <c r="F2" s="436"/>
      <c r="G2" s="436"/>
      <c r="H2" s="436"/>
    </row>
    <row r="3" spans="1:15" ht="39">
      <c r="A3" s="463" t="s">
        <v>280</v>
      </c>
      <c r="B3" s="439" t="str">
        <f>Criterios!A10 &amp;"  "&amp;Criterios!B10</f>
        <v>Provincias  VALENCIA</v>
      </c>
      <c r="C3" s="463"/>
      <c r="F3" s="436"/>
      <c r="G3" s="436"/>
      <c r="H3" s="436"/>
    </row>
    <row r="4" spans="1:15" ht="13.5" thickBot="1">
      <c r="A4" s="436"/>
      <c r="B4" s="439" t="str">
        <f>Criterios!A11 &amp;"  "&amp;Criterios!B11</f>
        <v>Resumenes por Partidos Judiciales  TORRENT</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6</v>
      </c>
      <c r="D9" s="451">
        <f>Datos!BK9</f>
        <v>0</v>
      </c>
      <c r="E9" s="451">
        <f>Datos!AQ9</f>
        <v>6</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3</v>
      </c>
      <c r="D16" s="451">
        <f>Datos!BK16</f>
        <v>0</v>
      </c>
      <c r="E16" s="451">
        <f>Datos!AQ16</f>
        <v>3</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Z7869ueFBIl2kRtnCMK+cC6/megYABShAX8AoAe2zg80MiWovvYG7fgCysDO8CkJoRp/dV04Wz4fKZ79kwniJA==" saltValue="wei/wcR4dbKxIpn+U31E3Q=="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COMUNIDAD VALENCIANA</v>
      </c>
      <c r="C2" s="475"/>
      <c r="D2" s="418"/>
    </row>
    <row r="3" spans="1:9" ht="19.5">
      <c r="A3" s="476" t="s">
        <v>16</v>
      </c>
      <c r="B3" s="477" t="str">
        <f>Criterios!A10 &amp;"  "&amp;Criterios!B10</f>
        <v>Provincias  VALENCIA</v>
      </c>
      <c r="C3" s="475"/>
      <c r="D3" s="476"/>
    </row>
    <row r="4" spans="1:9" ht="13.5" thickBot="1">
      <c r="B4" s="477" t="str">
        <f>Criterios!A11 &amp;"  "&amp;Criterios!B11</f>
        <v>Resumenes por Partidos Judiciales  TORRENT</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6</v>
      </c>
      <c r="C9" s="458">
        <f>Datos!AQ9</f>
        <v>6</v>
      </c>
      <c r="D9" s="451">
        <f>IF(ISNUMBER(Datos!M9),Datos!M9," - ")</f>
        <v>301</v>
      </c>
      <c r="E9" s="452">
        <f t="shared" ref="E9:E14" si="0">IF(ISNUMBER(D9/B9),D9/B9," - ")</f>
        <v>50.166666666666664</v>
      </c>
      <c r="F9" s="451">
        <f>IF(ISNUMBER(Datos!N9),Datos!N9," - ")</f>
        <v>771</v>
      </c>
      <c r="G9" s="452">
        <f t="shared" ref="G9:G14" si="1">IF(ISNUMBER(F9/B9),F9/B9," - ")</f>
        <v>128.5</v>
      </c>
      <c r="H9" s="451">
        <f>IF(ISNUMBER(Datos!O9),Datos!O9," - ")</f>
        <v>1014</v>
      </c>
      <c r="I9" s="452">
        <f>IF(ISNUMBER(H9/B9),H9/B9," - ")</f>
        <v>169</v>
      </c>
    </row>
    <row r="10" spans="1:9">
      <c r="A10" s="450" t="str">
        <f>Datos!A10</f>
        <v>Jdos. Violencia contra la mujer</v>
      </c>
      <c r="B10" s="480">
        <f>Datos!AO10</f>
        <v>1</v>
      </c>
      <c r="C10" s="458">
        <f>Datos!AQ10</f>
        <v>1</v>
      </c>
      <c r="D10" s="451">
        <f>IF(ISNUMBER(Datos!M10),Datos!M10," - ")</f>
        <v>4</v>
      </c>
      <c r="E10" s="452">
        <f>IF(ISNUMBER(D10/B10),D10/B10," - ")</f>
        <v>4</v>
      </c>
      <c r="F10" s="451">
        <f>IF(ISNUMBER(Datos!N10),Datos!N10," - ")</f>
        <v>17</v>
      </c>
      <c r="G10" s="452">
        <f>IF(ISNUMBER(F10/B10),F10/B10," - ")</f>
        <v>17</v>
      </c>
      <c r="H10" s="451">
        <f>IF(ISNUMBER(Datos!O10),Datos!O10," - ")</f>
        <v>8</v>
      </c>
      <c r="I10" s="452">
        <f t="shared" ref="I10:I13" si="2">IF(ISNUMBER(H10/B10),H10/B10," - ")</f>
        <v>8</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7</v>
      </c>
      <c r="C14" s="1148">
        <f>Datos!AR14</f>
        <v>7</v>
      </c>
      <c r="D14" s="1146">
        <f>SUBTOTAL(9,D9:D13)</f>
        <v>305</v>
      </c>
      <c r="E14" s="1147">
        <f t="shared" si="0"/>
        <v>43.571428571428569</v>
      </c>
      <c r="F14" s="1146">
        <f>SUBTOTAL(9,F9:F13)</f>
        <v>788</v>
      </c>
      <c r="G14" s="1147">
        <f t="shared" si="1"/>
        <v>112.57142857142857</v>
      </c>
      <c r="H14" s="1146">
        <f>SUBTOTAL(9,H9:H13)</f>
        <v>1022</v>
      </c>
      <c r="I14" s="1147">
        <f>IF(ISNUMBER(H14/B14),H14/B14," - ")</f>
        <v>146</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3</v>
      </c>
      <c r="C16" s="481">
        <f>Datos!AQ16</f>
        <v>3</v>
      </c>
      <c r="D16" s="451">
        <f>IF(ISNUMBER(Datos!M16),Datos!M16," - ")</f>
        <v>308</v>
      </c>
      <c r="E16" s="452">
        <f t="shared" ref="E16:E23" si="3">IF(ISNUMBER(D16/B16),D16/B16," - ")</f>
        <v>102.66666666666667</v>
      </c>
      <c r="F16" s="451">
        <f>IF(ISNUMBER(Datos!N16),Datos!N16," - ")</f>
        <v>923</v>
      </c>
      <c r="G16" s="452">
        <f t="shared" ref="G16:G23" si="4">IF(ISNUMBER(F16/B16),F16/B16," - ")</f>
        <v>307.66666666666669</v>
      </c>
      <c r="H16" s="451">
        <f>IF(ISNUMBER(Datos!O16),Datos!O16," - ")</f>
        <v>155</v>
      </c>
      <c r="I16" s="452">
        <f t="shared" ref="I16:I22" si="5">IF(ISNUMBER(H16/B16),H16/B16," - ")</f>
        <v>51.666666666666664</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1</v>
      </c>
      <c r="D18" s="451">
        <f>IF(ISNUMBER(Datos!M18),Datos!M18," - ")</f>
        <v>13</v>
      </c>
      <c r="E18" s="452">
        <f>IF(ISNUMBER(D18/B18),D18/B18," - ")</f>
        <v>13</v>
      </c>
      <c r="F18" s="451">
        <f>IF(ISNUMBER(Datos!N18),Datos!N18," - ")</f>
        <v>98</v>
      </c>
      <c r="G18" s="452">
        <f>IF(ISNUMBER(F18/B18),F18/B18," - ")</f>
        <v>98</v>
      </c>
      <c r="H18" s="451">
        <f>IF(ISNUMBER(Datos!O18),Datos!O18," - ")</f>
        <v>1</v>
      </c>
      <c r="I18" s="452">
        <f t="shared" si="5"/>
        <v>1</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4</v>
      </c>
      <c r="D23" s="1146">
        <f>SUBTOTAL(9,D16:D22)</f>
        <v>321</v>
      </c>
      <c r="E23" s="1147">
        <f t="shared" si="3"/>
        <v>80.25</v>
      </c>
      <c r="F23" s="1146">
        <f>SUBTOTAL(9,F16:F22)</f>
        <v>1021</v>
      </c>
      <c r="G23" s="1147">
        <f t="shared" si="4"/>
        <v>255.25</v>
      </c>
      <c r="H23" s="1146">
        <f>SUBTOTAL(9,H16:H22)</f>
        <v>156</v>
      </c>
      <c r="I23" s="1147">
        <f>IF(ISNUMBER(H23/B23),H23/B23," - ")</f>
        <v>39</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10</v>
      </c>
      <c r="C31" s="1084">
        <f>Datos!AR31</f>
        <v>10</v>
      </c>
      <c r="D31" s="1084">
        <f>SUBTOTAL(9,D8:D30)</f>
        <v>626</v>
      </c>
      <c r="E31" s="1085">
        <f>IF(ISNUMBER(D31/B31),D31/B31," - ")</f>
        <v>62.6</v>
      </c>
      <c r="F31" s="1084">
        <f>SUBTOTAL(9,F8:F30)</f>
        <v>1809</v>
      </c>
      <c r="G31" s="1085">
        <f>IF(ISNUMBER(F31/B31),F31/B31," - ")</f>
        <v>180.9</v>
      </c>
      <c r="H31" s="1084">
        <f>SUBTOTAL(9,H8:H30)</f>
        <v>1178</v>
      </c>
      <c r="I31" s="1085">
        <f>IF(ISNUMBER(H31/B31),H31/B31," - ")</f>
        <v>117.8</v>
      </c>
    </row>
    <row r="34" spans="1:1">
      <c r="A34" s="439" t="str">
        <f>Criterios!A4</f>
        <v>Fecha Informe: 06 may. 2023</v>
      </c>
    </row>
    <row r="39" spans="1:1">
      <c r="A39" s="462"/>
    </row>
  </sheetData>
  <sheetProtection algorithmName="SHA-512" hashValue="qHrCiCejPkekjf1NzMTLnDi+QQmAmLH8yfUm8yZ2WDc0k3GylLcmJHtaoxzK84c1D14PSln3vpEtIza7e/4ZKg==" saltValue="7SFJvnoJu+gGZ+OqQHul8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COMUNIDAD VALENCIANA</v>
      </c>
    </row>
    <row r="3" spans="1:4" ht="19.5">
      <c r="A3" s="484" t="s">
        <v>48</v>
      </c>
      <c r="B3" s="439" t="str">
        <f>Criterios!A10 &amp;"  "&amp;Criterios!B10</f>
        <v>Provincias  VALENCIA</v>
      </c>
    </row>
    <row r="4" spans="1:4" ht="13.5" thickBot="1">
      <c r="B4" s="439" t="str">
        <f>Criterios!A11 &amp;"  "&amp;Criterios!B11</f>
        <v>Resumenes por Partidos Judiciales  TORRENT</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570</v>
      </c>
      <c r="C9" s="489">
        <f>IF(ISNUMBER(Datos!Q9),Datos!Q9," - ")</f>
        <v>948</v>
      </c>
      <c r="D9" s="456">
        <f>IF(ISNUMBER(Datos!R9),Datos!R9," - ")</f>
        <v>8785</v>
      </c>
    </row>
    <row r="10" spans="1:4">
      <c r="A10" s="450" t="str">
        <f>Datos!A10</f>
        <v>Jdos. Violencia contra la mujer</v>
      </c>
      <c r="B10" s="488">
        <f>IF(ISNUMBER(Datos!P10),Datos!P10," - ")</f>
        <v>14</v>
      </c>
      <c r="C10" s="489">
        <f>IF(ISNUMBER(Datos!Q10),Datos!Q10," - ")</f>
        <v>17</v>
      </c>
      <c r="D10" s="456">
        <f>IF(ISNUMBER(Datos!R10),Datos!R10," - ")</f>
        <v>73</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584</v>
      </c>
      <c r="C14" s="1150">
        <f>SUBTOTAL(9,C9:C13)</f>
        <v>965</v>
      </c>
      <c r="D14" s="1148">
        <f>SUBTOTAL(9,D9:D13)</f>
        <v>8858</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211</v>
      </c>
      <c r="C16" s="489">
        <f>IF(ISNUMBER(Datos!Q16),Datos!Q16," - ")</f>
        <v>198</v>
      </c>
      <c r="D16" s="456">
        <f>IF(ISNUMBER(Datos!R16),Datos!R16," - ")</f>
        <v>461</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1</v>
      </c>
      <c r="C18" s="489">
        <f>IF(ISNUMBER(Datos!Q18),Datos!Q18," - ")</f>
        <v>1</v>
      </c>
      <c r="D18" s="456">
        <f>IF(ISNUMBER(Datos!R18),Datos!R18," - ")</f>
        <v>4</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212</v>
      </c>
      <c r="C23" s="1150">
        <f>SUBTOTAL(9,C16:C22)</f>
        <v>199</v>
      </c>
      <c r="D23" s="1148">
        <f>SUBTOTAL(9,D16:D22)</f>
        <v>465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796</v>
      </c>
      <c r="C31" s="1089">
        <f>SUBTOTAL(9,C8:C30)</f>
        <v>1164</v>
      </c>
      <c r="D31" s="1090">
        <f>SUBTOTAL(9,D8:D30)</f>
        <v>9323</v>
      </c>
    </row>
    <row r="32" spans="1:4" ht="7.5" customHeight="1"/>
    <row r="33" spans="1:1" ht="6" customHeight="1"/>
    <row r="34" spans="1:1">
      <c r="A34" s="439" t="str">
        <f>Criterios!A4</f>
        <v>Fecha Informe: 06 may. 2023</v>
      </c>
    </row>
    <row r="39" spans="1:1">
      <c r="A39" s="462"/>
    </row>
  </sheetData>
  <sheetProtection algorithmName="SHA-512" hashValue="fU4SUMuZG5AcXM0Rr6sry/1kaXeIdnKp7AKD3bwaNiurKJYZXr55lLGcZQ80kMO3tzysSCibIh4hjGLWOB9PNQ==" saltValue="gnAa2JmgO9BtSFfolKgC8w=="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COMUNIDAD VALENCIANA</v>
      </c>
    </row>
    <row r="3" spans="1:11" ht="18.75" customHeight="1">
      <c r="A3" s="484" t="s">
        <v>162</v>
      </c>
      <c r="B3" s="439" t="str">
        <f>Criterios!A10 &amp;"  "&amp;Criterios!B10</f>
        <v>Provincias  VALENCIA</v>
      </c>
    </row>
    <row r="4" spans="1:11" ht="10.5" customHeight="1" thickBot="1">
      <c r="B4" s="439" t="str">
        <f>Criterios!A11 &amp;"  "&amp;Criterios!B11</f>
        <v>Resumenes por Partidos Judiciales  TORRENT</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9.3808630393996256E-3</v>
      </c>
      <c r="C9" s="515">
        <f>IF(ISNUMBER(
   IF(J_V="SI",(Datos!J9-Datos!T9)/Datos!T9,(Datos!J9+Datos!Z9-(Datos!T9+Datos!AH9))/(Datos!T9+Datos!AH9))
     ),IF(J_V="SI",(Datos!J9-Datos!T9)/Datos!T9,(Datos!J9+Datos!Z9-(Datos!T9+Datos!AH9))/(Datos!T9+Datos!AH9))," - ")</f>
        <v>0.31242740998838558</v>
      </c>
      <c r="D9" s="515">
        <f>IF(ISNUMBER(
   IF(J_V="SI",(Datos!K9-Datos!U9)/Datos!U9,(Datos!K9+Datos!AA9-(Datos!U9+Datos!AI9))/(Datos!U9+Datos!AI9))
     ),IF(J_V="SI",(Datos!K9-Datos!U9)/Datos!U9,(Datos!K9+Datos!AA9-(Datos!U9+Datos!AI9))/(Datos!U9+Datos!AI9))," - ")</f>
        <v>0.14678326046221113</v>
      </c>
      <c r="E9" s="515">
        <f>IF(ISNUMBER(
   IF(J_V="SI",(Datos!L9-Datos!V9)/Datos!V9,(Datos!L9+Datos!AB9-(Datos!V9+Datos!AJ9))/(Datos!V9+Datos!AJ9))
     ),IF(J_V="SI",(Datos!L9-Datos!V9)/Datos!V9,(Datos!L9+Datos!AB9-(Datos!V9+Datos!AJ9))/(Datos!V9+Datos!AJ9))," - ")</f>
        <v>0.13662337662337662</v>
      </c>
      <c r="F9" s="515">
        <f>IF(ISNUMBER((Datos!M9-Datos!W9)/Datos!W9),(Datos!M9-Datos!W9)/Datos!W9," - ")</f>
        <v>-5.3459119496855348E-2</v>
      </c>
      <c r="G9" s="516">
        <f>IF(ISNUMBER((Datos!N9-Datos!X9)/Datos!X9),(Datos!N9-Datos!X9)/Datos!X9," - ")</f>
        <v>0.33160621761658032</v>
      </c>
      <c r="H9" s="514">
        <f>IF(ISNUMBER(((NºAsuntos!G9/NºAsuntos!E9)-Datos!BD9)/Datos!BD9),((NºAsuntos!G9/NºAsuntos!E9)-Datos!BD9)/Datos!BD9," - ")</f>
        <v>-0.12621204667436839</v>
      </c>
      <c r="I9" s="515">
        <f>IF(ISNUMBER(((NºAsuntos!I9/NºAsuntos!G9)-Datos!BE9)/Datos!BE9),((NºAsuntos!I9/NºAsuntos!G9)-Datos!BE9)/Datos!BE9," - ")</f>
        <v>-8.8594629771101604E-3</v>
      </c>
      <c r="J9" s="521">
        <f>IF(ISNUMBER((('Resol  Asuntos'!D9/NºAsuntos!G9)-Datos!BF9)/Datos!BF9),(('Resol  Asuntos'!D9/NºAsuntos!G9)-Datos!BF9)/Datos!BF9," - ")</f>
        <v>-0.54667821839923836</v>
      </c>
      <c r="K9" s="522">
        <f>IF(ISNUMBER((((NºAsuntos!C9+NºAsuntos!E9)/NºAsuntos!G9)-Datos!BG9)/Datos!BG9),(((NºAsuntos!C9+NºAsuntos!E9)/NºAsuntos!G9)-Datos!BG9)/Datos!BG9," - ")</f>
        <v>-3.6365623128441202E-2</v>
      </c>
    </row>
    <row r="10" spans="1:11">
      <c r="A10" s="450" t="str">
        <f>Datos!A10</f>
        <v>Jdos. Violencia contra la mujer</v>
      </c>
      <c r="B10" s="514">
        <f>IF(ISNUMBER((Datos!I10-Datos!S10)/Datos!S10),(Datos!I10-Datos!S10)/Datos!S10," - ")</f>
        <v>-0.26250000000000001</v>
      </c>
      <c r="C10" s="515">
        <f>IF(ISNUMBER((Datos!J10-Datos!T10)/Datos!T10),(Datos!J10-Datos!T10)/Datos!T10," - ")</f>
        <v>0.24444444444444444</v>
      </c>
      <c r="D10" s="515">
        <f>IF(ISNUMBER((Datos!K10-Datos!U10)/Datos!U10),(Datos!K10-Datos!U10)/Datos!U10," - ")</f>
        <v>-0.32432432432432434</v>
      </c>
      <c r="E10" s="515">
        <f>IF(ISNUMBER((Datos!L10-Datos!V10)/Datos!V10),(Datos!L10-Datos!V10)/Datos!V10," - ")</f>
        <v>2.2727272727272728E-2</v>
      </c>
      <c r="F10" s="515">
        <f>IF(ISNUMBER((Datos!M10-Datos!W10)/Datos!W10),(Datos!M10-Datos!W10)/Datos!W10," - ")</f>
        <v>-0.69230769230769229</v>
      </c>
      <c r="G10" s="516">
        <f>IF(ISNUMBER((Datos!N10-Datos!X10)/Datos!X10),(Datos!N10-Datos!X10)/Datos!X10," - ")</f>
        <v>0.21428571428571427</v>
      </c>
      <c r="H10" s="514">
        <f>IF(ISNUMBER(((NºAsuntos!G10/NºAsuntos!E10)-Datos!BD10)/Datos!BD10),((NºAsuntos!G10/NºAsuntos!E10)-Datos!BD10)/Datos!BD10," - ")</f>
        <v>-0.45704633204633199</v>
      </c>
      <c r="I10" s="515">
        <f>IF(ISNUMBER(((NºAsuntos!I10/NºAsuntos!G10)-Datos!BE10)/Datos!BE10),((NºAsuntos!I10/NºAsuntos!G10)-Datos!BE10)/Datos!BE10," - ")</f>
        <v>0.51363636363636356</v>
      </c>
      <c r="J10" s="521">
        <f>IF(ISNUMBER((('Resol  Asuntos'!D10/NºAsuntos!G10)-Datos!BF10)/Datos!BF10),(('Resol  Asuntos'!D10/NºAsuntos!G10)-Datos!BF10)/Datos!BF10," - ")</f>
        <v>-0.54461538461538461</v>
      </c>
      <c r="K10" s="522">
        <f>IF(ISNUMBER((((NºAsuntos!C10+NºAsuntos!E10)/NºAsuntos!G10)-Datos!BG10)/Datos!BG10),(((NºAsuntos!C10+NºAsuntos!E10)/NºAsuntos!G10)-Datos!BG10)/Datos!BG10," - ")</f>
        <v>0.36159999999999987</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3.6735764891104696E-3</v>
      </c>
      <c r="C14" s="1152">
        <f>IF(ISNUMBER(
   IF(J_V="SI",(Datos!J14-Datos!T14)/Datos!T14,(Datos!J14+Datos!Z14-(Datos!T14+Datos!AH14))/(Datos!T14+Datos!AH14))
     ),IF(J_V="SI",(Datos!J14-Datos!T14)/Datos!T14,(Datos!J14+Datos!Z14-(Datos!T14+Datos!AH14))/(Datos!T14+Datos!AH14))," - ")</f>
        <v>0.31069609507640067</v>
      </c>
      <c r="D14" s="1152">
        <f>IF(ISNUMBER(
   IF(J_V="SI",(Datos!K14-Datos!U14)/Datos!U14,(Datos!K14+Datos!AA14-(Datos!U14+Datos!AI14))/(Datos!U14+Datos!AI14))
     ),IF(J_V="SI",(Datos!K14-Datos!U14)/Datos!U14,(Datos!K14+Datos!AA14-(Datos!U14+Datos!AI14))/(Datos!U14+Datos!AI14))," - ")</f>
        <v>0.13614163614163613</v>
      </c>
      <c r="E14" s="1152">
        <f>IF(ISNUMBER(
   IF(J_V="SI",(Datos!L14-Datos!V14)/Datos!V14,(Datos!L14+Datos!AB14-(Datos!V14+Datos!AJ14))/(Datos!V14+Datos!AJ14))
     ),IF(J_V="SI",(Datos!L14-Datos!V14)/Datos!V14,(Datos!L14+Datos!AB14-(Datos!V14+Datos!AJ14))/(Datos!V14+Datos!AJ14))," - ")</f>
        <v>0.13407821229050279</v>
      </c>
      <c r="F14" s="1153">
        <f>IF(ISNUMBER((Datos!M14-Datos!W14)/Datos!W14),(Datos!M14-Datos!W14)/Datos!W14," - ")</f>
        <v>-7.8549848942598186E-2</v>
      </c>
      <c r="G14" s="1154">
        <f>IF(ISNUMBER((Datos!N14-Datos!X14)/Datos!X14),(Datos!N14-Datos!X14)/Datos!X14," - ")</f>
        <v>0.32883642495784149</v>
      </c>
      <c r="H14" s="1154">
        <f>IF(ISNUMBER(((NºAsuntos!G14/NºAsuntos!E14)-Datos!BD14)/Datos!BD14),((NºAsuntos!G14/NºAsuntos!E14)-Datos!BD14)/Datos!BD14," - ")</f>
        <v>-0.13317691232198997</v>
      </c>
      <c r="I14" s="1154">
        <f>IF(ISNUMBER(((NºAsuntos!I14/NºAsuntos!G14)-Datos!BE14)/Datos!BE14),((NºAsuntos!I14/NºAsuntos!G14)-Datos!BE14)/Datos!BE14," - ")</f>
        <v>-1.816167795892792E-3</v>
      </c>
      <c r="J14" s="1154">
        <f>IF(ISNUMBER((('Resol  Asuntos'!D14/NºAsuntos!G14)-Datos!BF14)/Datos!BF14),(('Resol  Asuntos'!D14/NºAsuntos!G14)-Datos!BF14)/Datos!BF14," - ")</f>
        <v>-0.54653303222620797</v>
      </c>
      <c r="K14" s="1154">
        <f>IF(ISNUMBER((((NºAsuntos!C14+NºAsuntos!E14)/NºAsuntos!G14)-Datos!BG14)/Datos!BG14),(((NºAsuntos!C14+NºAsuntos!E14)/NºAsuntos!G14)-Datos!BG14)/Datos!BG14," - ")</f>
        <v>-3.0990328358760984E-2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4.6956521739130432E-2</v>
      </c>
      <c r="C16" s="515">
        <f>IF(ISNUMBER(
   IF(D_I="SI",(Datos!J16-Datos!T16)/Datos!T16,(Datos!J16+Datos!AD16-(Datos!T16+Datos!AL16))/(Datos!T16+Datos!AL16))
     ),IF(D_I="SI",(Datos!J16-Datos!T16)/Datos!T16,(Datos!J16+Datos!AD16-(Datos!T16+Datos!AL16))/(Datos!T16+Datos!AL16))," - ")</f>
        <v>7.3295745771399287E-2</v>
      </c>
      <c r="D16" s="515">
        <f>IF(ISNUMBER(
   IF(D_I="SI",(Datos!K16-Datos!U16)/Datos!U16,(Datos!K16+Datos!AE16-(Datos!U16+Datos!AM16))/(Datos!U16+Datos!AM16))
     ),IF(D_I="SI",(Datos!K16-Datos!U16)/Datos!U16,(Datos!K16+Datos!AE16-(Datos!U16+Datos!AM16))/(Datos!U16+Datos!AM16))," - ")</f>
        <v>3.1613976705490848E-2</v>
      </c>
      <c r="E16" s="515">
        <f>IF(ISNUMBER(
   IF(D_I="SI",(Datos!L16-Datos!V16)/Datos!V16,(Datos!L16+Datos!AF16-(Datos!V16+Datos!AN16))/(Datos!V16+Datos!AN16))
     ),IF(D_I="SI",(Datos!L16-Datos!V16)/Datos!V16,(Datos!L16+Datos!AF16-(Datos!V16+Datos!AN16))/(Datos!V16+Datos!AN16))," - ")</f>
        <v>9.0715048025613657E-2</v>
      </c>
      <c r="F16" s="515">
        <f>IF(ISNUMBER((Datos!M16-Datos!W16)/Datos!W16),(Datos!M16-Datos!W16)/Datos!W16," - ")</f>
        <v>0.15789473684210525</v>
      </c>
      <c r="G16" s="516">
        <f>IF(ISNUMBER((Datos!N16-Datos!X16)/Datos!X16),(Datos!N16-Datos!X16)/Datos!X16," - ")</f>
        <v>-2.8421052631578948E-2</v>
      </c>
      <c r="H16" s="514">
        <f>IF(ISNUMBER(((NºAsuntos!G16/NºAsuntos!E16)-Datos!BD16)/Datos!BD16),((NºAsuntos!G16/NºAsuntos!E16)-Datos!BD16)/Datos!BD16," - ")</f>
        <v>-3.8835306326450492E-2</v>
      </c>
      <c r="I16" s="515">
        <f>IF(ISNUMBER(((NºAsuntos!I16/NºAsuntos!G16)-Datos!BE16)/Datos!BE16),((NºAsuntos!I16/NºAsuntos!G16)-Datos!BE16)/Datos!BE16," - ")</f>
        <v>5.7289909457086785E-2</v>
      </c>
      <c r="J16" s="521">
        <f>IF(ISNUMBER((('Resol  Asuntos'!D16/NºAsuntos!G16)-Datos!BF16)/Datos!BF16),(('Resol  Asuntos'!D16/NºAsuntos!G16)-Datos!BF16)/Datos!BF16," - ")</f>
        <v>0.12241086587436326</v>
      </c>
      <c r="K16" s="522">
        <f>IF(ISNUMBER((((NºAsuntos!C16+NºAsuntos!E16)/NºAsuntos!G16)-Datos!BG16)/Datos!BG16),(((NºAsuntos!C16+NºAsuntos!E16)/NºAsuntos!G16)-Datos!BG16)/Datos!BG16," - ")</f>
        <v>2.8423251079363939E-2</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9.0604026845637578E-2</v>
      </c>
      <c r="C18" s="515">
        <f>IF(ISNUMBER(
   IF(D_I="SI",(Datos!J18-Datos!T18)/Datos!T18,(Datos!J18+Datos!AD18-(Datos!T18+Datos!AL18))/(Datos!T18+Datos!AL18))
     ),IF(D_I="SI",(Datos!J18-Datos!T18)/Datos!T18,(Datos!J18+Datos!AD18-(Datos!T18+Datos!AL18))/(Datos!T18+Datos!AL18))," - ")</f>
        <v>-2.8985507246376812E-2</v>
      </c>
      <c r="D18" s="515">
        <f>IF(ISNUMBER(
   IF(D_I="SI",(Datos!K18-Datos!U18)/Datos!U18,(Datos!K18+Datos!AE18-(Datos!U18+Datos!AM18))/(Datos!U18+Datos!AM18))
     ),IF(D_I="SI",(Datos!K18-Datos!U18)/Datos!U18,(Datos!K18+Datos!AE18-(Datos!U18+Datos!AM18))/(Datos!U18+Datos!AM18))," - ")</f>
        <v>-0.22553191489361701</v>
      </c>
      <c r="E18" s="515">
        <f>IF(ISNUMBER(
   IF(D_I="SI",(Datos!L18-Datos!V18)/Datos!V18,(Datos!L18+Datos!AF18-(Datos!V18+Datos!AN18))/(Datos!V18+Datos!AN18))
     ),IF(D_I="SI",(Datos!L18-Datos!V18)/Datos!V18,(Datos!L18+Datos!AF18-(Datos!V18+Datos!AN18))/(Datos!V18+Datos!AN18))," - ")</f>
        <v>0.21238938053097345</v>
      </c>
      <c r="F18" s="515">
        <f>IF(ISNUMBER((Datos!M18-Datos!W18)/Datos!W18),(Datos!M18-Datos!W18)/Datos!W18," - ")</f>
        <v>8.3333333333333329E-2</v>
      </c>
      <c r="G18" s="516">
        <f>IF(ISNUMBER((Datos!N18-Datos!X18)/Datos!X18),(Datos!N18-Datos!X18)/Datos!X18," - ")</f>
        <v>-0.27407407407407408</v>
      </c>
      <c r="H18" s="514">
        <f>IF(ISNUMBER(((NºAsuntos!G18/NºAsuntos!E18)-Datos!BD18)/Datos!BD18),((NºAsuntos!G18/NºAsuntos!E18)-Datos!BD18)/Datos!BD18," - ")</f>
        <v>-0.20241346459193399</v>
      </c>
      <c r="I18" s="515">
        <f>IF(ISNUMBER(((NºAsuntos!I18/NºAsuntos!G18)-Datos!BE18)/Datos!BE18),((NºAsuntos!I18/NºAsuntos!G18)-Datos!BE18)/Datos!BE18," - ")</f>
        <v>0.56544782650977343</v>
      </c>
      <c r="J18" s="521">
        <f>IF(ISNUMBER((('Resol  Asuntos'!D18/NºAsuntos!G18)-Datos!BF18)/Datos!BF18),(('Resol  Asuntos'!D18/NºAsuntos!G18)-Datos!BF18)/Datos!BF18," - ")</f>
        <v>0.39880952380952378</v>
      </c>
      <c r="K18" s="522">
        <f>IF(ISNUMBER((((NºAsuntos!C18+NºAsuntos!E18)/NºAsuntos!G18)-Datos!BG18)/Datos!BG18),(((NºAsuntos!C18+NºAsuntos!E18)/NºAsuntos!G18)-Datos!BG18)/Datos!BG18," - ")</f>
        <v>0.33394915189340263</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5.3386060306475532E-2</v>
      </c>
      <c r="C23" s="1152">
        <f>IF(ISNUMBER(
   IF(Criterios!B14="SI",(Datos!J23-Datos!T23)/Datos!T23,(Datos!J23+Datos!AD23-(Datos!T23+Datos!AL23))/(Datos!T23+Datos!AL23))
     ),IF(Criterios!B14="SI",(Datos!J23-Datos!T23)/Datos!T23,(Datos!J23+Datos!AD23-(Datos!T23+Datos!AL23))/(Datos!T23+Datos!AL23))," - ")</f>
        <v>6.0619667714414009E-2</v>
      </c>
      <c r="D23" s="1152">
        <f>IF(ISNUMBER(
   IF(Criterios!B14="SI",(Datos!K23-Datos!U23)/Datos!U23,(Datos!K23+Datos!AE23-(Datos!U23+Datos!AM23))/(Datos!U23+Datos!AM23))
     ),IF(Criterios!B14="SI",(Datos!K23-Datos!U23)/Datos!U23,(Datos!K23+Datos!AE23-(Datos!U23+Datos!AM23))/(Datos!U23+Datos!AM23))," - ")</f>
        <v>1.9627085377821392E-3</v>
      </c>
      <c r="E23" s="1152">
        <f>IF(ISNUMBER(
   IF(Criterios!B14="SI",(Datos!L23-Datos!V23)/Datos!V23,(Datos!L23+Datos!AF23-(Datos!V23+Datos!AN23))/(Datos!V23+Datos!AN23))
     ),IF(Criterios!B14="SI",(Datos!L23-Datos!V23)/Datos!V23,(Datos!L23+Datos!AF23-(Datos!V23+Datos!AN23))/(Datos!V23+Datos!AN23))," - ")</f>
        <v>0.10935381834613647</v>
      </c>
      <c r="F23" s="1153">
        <f>IF(ISNUMBER((Datos!M23-Datos!W23)/Datos!W23),(Datos!M23-Datos!W23)/Datos!W23," - ")</f>
        <v>0.15467625899280577</v>
      </c>
      <c r="G23" s="1154">
        <f>IF(ISNUMBER((Datos!N23-Datos!X23)/Datos!X23),(Datos!N23-Datos!X23)/Datos!X23," - ")</f>
        <v>-5.8986175115207373E-2</v>
      </c>
      <c r="H23" s="1154">
        <f>IF(ISNUMBER(((NºAsuntos!G23/NºAsuntos!E23)-Datos!BD23)/Datos!BD23),((NºAsuntos!G23/NºAsuntos!E23)-Datos!BD23)/Datos!BD23," - ")</f>
        <v>-5.530442340658729E-2</v>
      </c>
      <c r="I23" s="1154">
        <f>IF(ISNUMBER(((NºAsuntos!I23/NºAsuntos!G23)-Datos!BE23)/Datos!BE23),((NºAsuntos!I23/NºAsuntos!G23)-Datos!BE23)/Datos!BE23," - ")</f>
        <v>0.1071807452445771</v>
      </c>
      <c r="J23" s="1154">
        <f>IF(ISNUMBER((('Resol  Asuntos'!D23/NºAsuntos!G23)-Datos!BF23)/Datos!BF23),(('Resol  Asuntos'!D23/NºAsuntos!G23)-Datos!BF23)/Datos!BF23," - ")</f>
        <v>0.15241440540026341</v>
      </c>
      <c r="K23" s="1154">
        <f>IF(ISNUMBER((((NºAsuntos!C23+NºAsuntos!E23)/NºAsuntos!G23)-Datos!BG23)/Datos!BG23),(((NºAsuntos!C23+NºAsuntos!E23)/NºAsuntos!G23)-Datos!BG23)/Datos!BG23," - ")</f>
        <v>5.5105605807455042E-2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2.0911895783339046E-2</v>
      </c>
      <c r="C31" s="1092">
        <f>IF(ISNUMBER(
   IF(J_V="SI",(Datos!J31-Datos!T31)/Datos!T31,(Datos!J31+Datos!Z31-(Datos!T31+Datos!AH31))/(Datos!T31+Datos!AH31))
     ),IF(J_V="SI",(Datos!J31-Datos!T31)/Datos!T31,(Datos!J31+Datos!Z31-(Datos!T31+Datos!AH31))/(Datos!T31+Datos!AH31))," - ")</f>
        <v>0.17125688532799199</v>
      </c>
      <c r="D31" s="1092">
        <f>IF(ISNUMBER(
   IF(J_V="SI",(Datos!K31-Datos!U31)/Datos!U31,(Datos!K31+Datos!AA31-(Datos!U31+Datos!AI31))/(Datos!U31+Datos!AI31))
     ),IF(J_V="SI",(Datos!K31-Datos!U31)/Datos!U31,(Datos!K31+Datos!AA31-(Datos!U31+Datos!AI31))/(Datos!U31+Datos!AI31))," - ")</f>
        <v>6.1751904243743203E-2</v>
      </c>
      <c r="E31" s="1092">
        <f>IF(ISNUMBER(
   IF(J_V="SI",(Datos!L31-Datos!V31)/Datos!V31,(Datos!L31+Datos!AB31-(Datos!V31+Datos!AJ31))/(Datos!V31+Datos!AJ31))
     ),IF(J_V="SI",(Datos!L31-Datos!V31)/Datos!V31,(Datos!L31+Datos!AB31-(Datos!V31+Datos!AJ31))/(Datos!V31+Datos!AJ31))," - ")</f>
        <v>0.12518289708990407</v>
      </c>
      <c r="F31" s="1093">
        <f>IF(ISNUMBER((Datos!M31-Datos!W31)/Datos!W31),(Datos!M31-Datos!W31)/Datos!W31," - ")</f>
        <v>2.7914614121510674E-2</v>
      </c>
      <c r="G31" s="1094">
        <f>IF(ISNUMBER((Datos!N31-Datos!X31)/Datos!X31),(Datos!N31-Datos!X31)/Datos!X31," - ")</f>
        <v>7.8069129916567337E-2</v>
      </c>
      <c r="H31" s="1095">
        <f>IF(ISNUMBER((Tasas!B31-Datos!BD31)/Datos!BD31),(Tasas!B31-Datos!BD31)/Datos!BD31," - ")</f>
        <v>-9.3493564440036231E-2</v>
      </c>
      <c r="I31" s="1096">
        <f>IF(ISNUMBER((Tasas!C31-Datos!BE31)/Datos!BE31),(Tasas!C31-Datos!BE31)/Datos!BE31," - ")</f>
        <v>5.9741821599407517E-2</v>
      </c>
      <c r="J31" s="1097">
        <f>IF(ISNUMBER((Tasas!D31-Datos!BF31)/Datos!BF31),(Tasas!D31-Datos!BF31)/Datos!BF31," - ")</f>
        <v>-0.32230851010569528</v>
      </c>
      <c r="K31" s="1097">
        <f>IF(ISNUMBER((Tasas!E31-Datos!BG31)/Datos!BG31),(Tasas!E31-Datos!BG31)/Datos!BG31," - ")</f>
        <v>1.9080425178298673E-2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ZGqGaiYjNL4rB/adgTIi6lZ03yGi6WvwG317cOLte+TejwJilsxXUvInZDds2PhuSCBDpAY/UikdpcoMrn7Ppg==" saltValue="vdmzlU2PXmrcc4BgkkJJ6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COMUNIDAD VALENCIANA</v>
      </c>
    </row>
    <row r="3" spans="1:7" ht="19.5">
      <c r="A3" s="491" t="s">
        <v>17</v>
      </c>
      <c r="B3" s="439" t="str">
        <f>Criterios!A10 &amp;"  "&amp;Criterios!B10</f>
        <v>Provincias  VALENCIA</v>
      </c>
    </row>
    <row r="4" spans="1:7" ht="11.25" customHeight="1" thickBot="1">
      <c r="B4" s="439" t="str">
        <f>Criterios!A11 &amp;"  "&amp;Criterios!B11</f>
        <v>Resumenes por Partidos Judiciales  TORRENT</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0.81238938053097343</v>
      </c>
      <c r="C9" s="498">
        <f>IF(ISNUMBER(NºAsuntos!I9/NºAsuntos!G9),NºAsuntos!I9/NºAsuntos!G9," - ")</f>
        <v>2.3834422657952068</v>
      </c>
      <c r="D9" s="499">
        <f>IF(ISNUMBER('Resol  Asuntos'!D9/NºAsuntos!G9),'Resol  Asuntos'!D9/NºAsuntos!G9," - ")</f>
        <v>0.16394335511982572</v>
      </c>
      <c r="E9" s="500">
        <f>IF(ISNUMBER((NºAsuntos!C9+NºAsuntos!E9)/NºAsuntos!G9),(NºAsuntos!C9+NºAsuntos!E9)/NºAsuntos!G9," - ")</f>
        <v>3.2821350762527235</v>
      </c>
      <c r="G9" s="523"/>
    </row>
    <row r="10" spans="1:7">
      <c r="A10" s="450" t="str">
        <f>Datos!A10</f>
        <v>Jdos. Violencia contra la mujer</v>
      </c>
      <c r="B10" s="497">
        <f>IF(ISNUMBER(NºAsuntos!G10/NºAsuntos!E10),NºAsuntos!G10/NºAsuntos!E10," - ")</f>
        <v>0.44642857142857145</v>
      </c>
      <c r="C10" s="498">
        <f>IF(ISNUMBER(NºAsuntos!I10/NºAsuntos!G10),NºAsuntos!I10/NºAsuntos!G10," - ")</f>
        <v>3.6</v>
      </c>
      <c r="D10" s="499">
        <f>IF(ISNUMBER('Resol  Asuntos'!D10/NºAsuntos!G10),'Resol  Asuntos'!D10/NºAsuntos!G10," - ")</f>
        <v>0.16</v>
      </c>
      <c r="E10" s="500">
        <f>IF(ISNUMBER((NºAsuntos!C10+NºAsuntos!E10)/NºAsuntos!G10),(NºAsuntos!C10+NºAsuntos!E10)/NºAsuntos!G10," - ")</f>
        <v>4.5999999999999996</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0.80354058721934374</v>
      </c>
      <c r="C14" s="1156">
        <f>IF(ISNUMBER(NºAsuntos!I14/NºAsuntos!G14),NºAsuntos!I14/NºAsuntos!G14," - ")</f>
        <v>2.3997850617947338</v>
      </c>
      <c r="D14" s="1157">
        <f>IF(ISNUMBER('Resol  Asuntos'!D14/NºAsuntos!G14),'Resol  Asuntos'!D14/NºAsuntos!G14," - ")</f>
        <v>0.16389038151531435</v>
      </c>
      <c r="E14" s="1158">
        <f>IF(ISNUMBER((NºAsuntos!C14+NºAsuntos!E14)/NºAsuntos!G14),(NºAsuntos!C14+NºAsuntos!E14)/NºAsuntos!G14," - ")</f>
        <v>3.2998387963460507</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0.88825214899713467</v>
      </c>
      <c r="C16" s="498">
        <f>IF(ISNUMBER(NºAsuntos!I16/NºAsuntos!G16),NºAsuntos!I16/NºAsuntos!G16," - ")</f>
        <v>1.0989247311827957</v>
      </c>
      <c r="D16" s="499">
        <f>IF(ISNUMBER('Resol  Asuntos'!D16/NºAsuntos!G16),'Resol  Asuntos'!D16/NºAsuntos!G16," - ")</f>
        <v>0.16559139784946236</v>
      </c>
      <c r="E16" s="500">
        <f>IF(ISNUMBER((NºAsuntos!C16+NºAsuntos!E16)/NºAsuntos!G16),(NºAsuntos!C16+NºAsuntos!E16)/NºAsuntos!G16," - ")</f>
        <v>2.096774193548387</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0.67910447761194026</v>
      </c>
      <c r="C18" s="498">
        <f>IF(ISNUMBER(NºAsuntos!I18/NºAsuntos!G18),NºAsuntos!I18/NºAsuntos!G18," - ")</f>
        <v>2.2582417582417582</v>
      </c>
      <c r="D18" s="499">
        <f>IF(ISNUMBER('Resol  Asuntos'!D18/NºAsuntos!G18),'Resol  Asuntos'!D18/NºAsuntos!G18," - ")</f>
        <v>7.1428571428571425E-2</v>
      </c>
      <c r="E18" s="500">
        <f>IF(ISNUMBER((NºAsuntos!C18+NºAsuntos!E18)/NºAsuntos!G18),(NºAsuntos!C18+NºAsuntos!E18)/NºAsuntos!G18," - ")</f>
        <v>3.2582417582417582</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0.86452159187129551</v>
      </c>
      <c r="C23" s="1156">
        <f>IF(ISNUMBER(NºAsuntos!I23/NºAsuntos!G23),NºAsuntos!I23/NºAsuntos!G23," - ")</f>
        <v>1.2022526934378062</v>
      </c>
      <c r="D23" s="1159">
        <f>IF(ISNUMBER('Resol  Asuntos'!D23/NºAsuntos!G23),'Resol  Asuntos'!D23/NºAsuntos!G23," - ")</f>
        <v>0.15719882468168461</v>
      </c>
      <c r="E23" s="1158">
        <f>IF(ISNUMBER((NºAsuntos!C23+NºAsuntos!E23)/NºAsuntos!G23),(NºAsuntos!C23+NºAsuntos!E23)/NºAsuntos!G23," - ")</f>
        <v>2.2002938295788441</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0.83433091064557507</v>
      </c>
      <c r="C31" s="1099">
        <f>IF(ISNUMBER(NºAsuntos!I31/NºAsuntos!G31),NºAsuntos!I31/NºAsuntos!G31," - ")</f>
        <v>1.7732513451191392</v>
      </c>
      <c r="D31" s="1100">
        <f>IF(ISNUMBER('Resol  Asuntos'!D31/NºAsuntos!G31),'Resol  Asuntos'!D31/NºAsuntos!G31," - ")</f>
        <v>0.1603894440174225</v>
      </c>
      <c r="E31" s="1101">
        <f>IF(ISNUMBER((NºAsuntos!C31+NºAsuntos!E31)/NºAsuntos!G31),(NºAsuntos!C31+NºAsuntos!E31)/NºAsuntos!G31," - ")</f>
        <v>2.7245708429413273</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WMtmYDRU8+sTGIBG1WS9GxohLdtH3vyM7KLaSB2O8Tz3s9tjQ9Ob1UEjZ2TvuUuKV27VzAZbx3I2LM/1JFwWnA==" saltValue="qwM5NypQmSKRRIuh8Uhq0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COMUNIDAD VALENCIANA</v>
      </c>
      <c r="G2" s="369"/>
      <c r="H2" s="368"/>
      <c r="I2" s="368"/>
      <c r="J2" s="368"/>
      <c r="K2" s="368"/>
      <c r="L2" s="368" t="str">
        <f>Criterios!A10 &amp;"  "&amp;Criterios!B10</f>
        <v>Provincias  VALENCIA</v>
      </c>
      <c r="N2" s="368" t="str">
        <f>Criterios!A11 &amp;"  "&amp;Criterios!B11</f>
        <v>Resumenes por Partidos Judiciales  TORRENT</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6</v>
      </c>
      <c r="B9" s="190" t="s">
        <v>321</v>
      </c>
      <c r="C9" s="173" t="str">
        <f>Datos!A9</f>
        <v xml:space="preserve">Jdos. 1ª Instancia   </v>
      </c>
      <c r="D9" s="173"/>
      <c r="E9" s="1402">
        <f>IF(ISNUMBER(Datos!AQ9),Datos!AQ9," - ")</f>
        <v>6</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570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948</v>
      </c>
      <c r="Y9" s="374">
        <f>SUM(W9:X9)</f>
        <v>948</v>
      </c>
      <c r="Z9" s="375" t="str">
        <f>IF(ISNUMBER(Datos!CC9),Datos!CC9," - ")</f>
        <v xml:space="preserve"> - </v>
      </c>
      <c r="AA9" s="372" t="str">
        <f>IF(ISNUMBER(IF(J_V="SI",Datos!L9,Datos!L9+Datos!AB9)-IF(Monitorios="SI",Datos!CD9,0)),
                          IF(J_V="SI",Datos!L9,Datos!L9+Datos!AB9)-IF(Monitorios="SI",Datos!CD9,0),
                          " - ")</f>
        <v xml:space="preserve"> - </v>
      </c>
      <c r="AB9" s="374">
        <f>IF(ISNUMBER(Datos!R9),Datos!R9," - ")</f>
        <v>8785</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301</v>
      </c>
      <c r="AJ9" s="243" t="str">
        <f>IF(ISNUMBER(Datos!BW9),Datos!BW9," - ")</f>
        <v xml:space="preserve"> - </v>
      </c>
      <c r="AK9" s="242" t="str">
        <f>IF(ISNUMBER(Datos!BX9),Datos!BX9," - ")</f>
        <v xml:space="preserve"> - </v>
      </c>
      <c r="AL9" s="266">
        <f>IF(ISNUMBER(NºAsuntos!G9/NºAsuntos!E9),NºAsuntos!G9/NºAsuntos!E9," - ")</f>
        <v>0.81238938053097343</v>
      </c>
      <c r="AM9" s="284">
        <f>IF(ISNUMBER(((NºAsuntos!I9/NºAsuntos!G9)*11)/factor_trimestre),((NºAsuntos!I9/NºAsuntos!G9)*11)/factor_trimestre," - ")</f>
        <v>4.7668845315904136</v>
      </c>
      <c r="AN9" s="267">
        <f>IF(ISNUMBER('Resol  Asuntos'!D9/NºAsuntos!G9),'Resol  Asuntos'!D9/NºAsuntos!G9," - ")</f>
        <v>0.16394335511982572</v>
      </c>
      <c r="AO9" s="268">
        <f>IF(ISNUMBER((NºAsuntos!C9+NºAsuntos!E9)/NºAsuntos!G9),(NºAsuntos!C9+NºAsuntos!E9)/NºAsuntos!G9," - ")</f>
        <v>3.2821350762527235</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1</v>
      </c>
      <c r="F10" s="239">
        <f>IF(ISNUMBER(Datos!L10+Datos!K10-Datos!J10-K10),Datos!L10+Datos!K10-Datos!J10-K10," - ")</f>
        <v>59</v>
      </c>
      <c r="G10" s="373">
        <f>IF(ISNUMBER(Datos!I10),Datos!I10," - ")</f>
        <v>59</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14</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25</v>
      </c>
      <c r="X10" s="240">
        <f>IF(ISNUMBER(Datos!Q10),Datos!Q10," - ")</f>
        <v>17</v>
      </c>
      <c r="Y10" s="374">
        <f t="shared" ref="Y10:Y13" si="0">SUM(W10:X10)</f>
        <v>42</v>
      </c>
      <c r="Z10" s="375" t="str">
        <f>IF(ISNUMBER(Datos!CC10),Datos!CC10," - ")</f>
        <v xml:space="preserve"> - </v>
      </c>
      <c r="AA10" s="372">
        <f>IF(ISNUMBER(Datos!L10),Datos!L10,"-")</f>
        <v>90</v>
      </c>
      <c r="AB10" s="374">
        <f>IF(ISNUMBER(Datos!R10),Datos!R10," - ")</f>
        <v>73</v>
      </c>
      <c r="AC10" s="374">
        <f t="shared" ref="AC10:AC13" si="1">IF(ISNUMBER(AA10+AB10),AA10+AB10," - ")</f>
        <v>163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4</v>
      </c>
      <c r="AJ10" s="245" t="str">
        <f>IF(ISNUMBER(Datos!BW10),Datos!BW10," - ")</f>
        <v xml:space="preserve"> - </v>
      </c>
      <c r="AK10" s="246" t="str">
        <f>IF(ISNUMBER(Datos!BX10),Datos!BX10," - ")</f>
        <v xml:space="preserve"> - </v>
      </c>
      <c r="AL10" s="266">
        <f>IF(ISNUMBER(NºAsuntos!G10/NºAsuntos!E10),NºAsuntos!G10/NºAsuntos!E10," - ")</f>
        <v>0.44642857142857145</v>
      </c>
      <c r="AM10" s="284">
        <f>IF(ISNUMBER(((NºAsuntos!I10/NºAsuntos!G10)*11)/factor_trimestre),((NºAsuntos!I10/NºAsuntos!G10)*11)/factor_trimestre," - ")</f>
        <v>7.2</v>
      </c>
      <c r="AN10" s="267">
        <f>IF(ISNUMBER('Resol  Asuntos'!D10/NºAsuntos!G10),'Resol  Asuntos'!D10/NºAsuntos!G10," - ")</f>
        <v>0.16</v>
      </c>
      <c r="AO10" s="268">
        <f>IF(ISNUMBER((NºAsuntos!C10+NºAsuntos!E10)/NºAsuntos!G10),(NºAsuntos!C10+NºAsuntos!E10)/NºAsuntos!G10," - ")</f>
        <v>4.5999999999999996</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7</v>
      </c>
      <c r="F14" s="1162">
        <f t="shared" si="5"/>
        <v>59</v>
      </c>
      <c r="G14" s="1163">
        <f t="shared" si="5"/>
        <v>59</v>
      </c>
      <c r="H14" s="1162">
        <f t="shared" si="5"/>
        <v>0</v>
      </c>
      <c r="I14" s="1164">
        <f t="shared" si="5"/>
        <v>0</v>
      </c>
      <c r="J14" s="1164">
        <f t="shared" si="5"/>
        <v>0</v>
      </c>
      <c r="K14" s="1164">
        <f t="shared" si="5"/>
        <v>0</v>
      </c>
      <c r="L14" s="1164">
        <f t="shared" si="5"/>
        <v>584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25</v>
      </c>
      <c r="X14" s="1164">
        <f t="shared" si="6"/>
        <v>965</v>
      </c>
      <c r="Y14" s="1165">
        <f t="shared" si="6"/>
        <v>990</v>
      </c>
      <c r="Z14" s="1165">
        <f t="shared" si="6"/>
        <v>0</v>
      </c>
      <c r="AA14" s="1165">
        <f t="shared" si="6"/>
        <v>90</v>
      </c>
      <c r="AB14" s="1165">
        <f t="shared" si="6"/>
        <v>8858</v>
      </c>
      <c r="AC14" s="1165">
        <f t="shared" si="6"/>
        <v>163</v>
      </c>
      <c r="AD14" s="1165">
        <f t="shared" si="6"/>
        <v>0</v>
      </c>
      <c r="AE14" s="1169">
        <f t="shared" si="6"/>
        <v>0</v>
      </c>
      <c r="AF14" s="1162">
        <f t="shared" si="6"/>
        <v>0</v>
      </c>
      <c r="AG14" s="1170">
        <f t="shared" si="6"/>
        <v>0</v>
      </c>
      <c r="AH14" s="1167">
        <f t="shared" si="6"/>
        <v>0</v>
      </c>
      <c r="AI14" s="1162">
        <f t="shared" si="6"/>
        <v>305</v>
      </c>
      <c r="AJ14" s="1164">
        <f t="shared" si="6"/>
        <v>0</v>
      </c>
      <c r="AK14" s="1167">
        <f>SUBTOTAL(9,AK9:AK13)</f>
        <v>0</v>
      </c>
      <c r="AL14" s="1171">
        <f>IF(ISNUMBER(NºAsuntos!G14/NºAsuntos!E14),NºAsuntos!G14/NºAsuntos!E14," - ")</f>
        <v>0.80354058721934374</v>
      </c>
      <c r="AM14" s="1171">
        <f>IF(ISNUMBER(((NºAsuntos!I14/NºAsuntos!G14)*11)/factor_trimestre),((NºAsuntos!I14/NºAsuntos!G14)*11)/factor_trimestre," - ")</f>
        <v>4.7995701235894677</v>
      </c>
      <c r="AN14" s="1172">
        <f>IF(ISNUMBER('Resol  Asuntos'!D14/NºAsuntos!G14),'Resol  Asuntos'!D14/NºAsuntos!G14," - ")</f>
        <v>0.16389038151531435</v>
      </c>
      <c r="AO14" s="1173">
        <f>IF(ISNUMBER((NºAsuntos!C14+NºAsuntos!E14)/NºAsuntos!G14),(NºAsuntos!C14+NºAsuntos!E14)/NºAsuntos!G14," - ")</f>
        <v>3.2998387963460507</v>
      </c>
      <c r="AP14" s="1174" t="str">
        <f t="shared" si="2"/>
        <v xml:space="preserve"> - </v>
      </c>
      <c r="AQ14" s="1174">
        <f>IF(ISNUMBER((H14-W14+K14)/(F14)),(H14-W14+K14)/(F14)," - ")</f>
        <v>-0.42372881355932202</v>
      </c>
      <c r="AR14" s="1175">
        <f>IF(ISNUMBER((Datos!P14-Datos!Q14)/(Datos!R14-Datos!P14+Datos!Q14)),(Datos!P14-Datos!Q14)/(Datos!R14-Datos!P14+Datos!Q14)," - ")</f>
        <v>-4.1238229245589349E-2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3</v>
      </c>
      <c r="B16" s="300" t="s">
        <v>511</v>
      </c>
      <c r="C16" s="173" t="str">
        <f>Datos!A16</f>
        <v xml:space="preserve">Jdos. Instrucción                               </v>
      </c>
      <c r="D16" s="173"/>
      <c r="E16" s="1402">
        <f>IF(ISNUMBER(Datos!AQ16),Datos!AQ16," - ")</f>
        <v>3</v>
      </c>
      <c r="F16" s="239">
        <f>IF(ISNUMBER(AA16+W16-Datos!J16-K16),AA16+W16-Datos!J16-K16," - ")</f>
        <v>1810</v>
      </c>
      <c r="G16" s="373">
        <f>IF(ISNUMBER(IF(D_I="SI",Datos!I16,Datos!I16+Datos!AC16)),IF(D_I="SI",Datos!I16,Datos!I16+Datos!AC16)," - ")</f>
        <v>1806</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211</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1860</v>
      </c>
      <c r="X16" s="240">
        <f>IF(ISNUMBER(Datos!Q16),Datos!Q16," - ")</f>
        <v>198</v>
      </c>
      <c r="Y16" s="374">
        <f>SUM(W16)</f>
        <v>1860</v>
      </c>
      <c r="Z16" s="375" t="str">
        <f>IF(ISNUMBER(Datos!CC16),Datos!CC16," - ")</f>
        <v xml:space="preserve"> - </v>
      </c>
      <c r="AA16" s="372">
        <f>IF(ISNUMBER(IF(D_I="SI",Datos!L16,Datos!L16+Datos!AF16)),IF(D_I="SI",Datos!L16,Datos!L16+Datos!AF16)," - ")</f>
        <v>2044</v>
      </c>
      <c r="AB16" s="374">
        <f>IF(ISNUMBER(Datos!R16),Datos!R16," - ")</f>
        <v>461</v>
      </c>
      <c r="AC16" s="374">
        <f t="shared" ref="AC16:AC22" si="8">IF(ISNUMBER(AA16+AB16),AA16+AB16," - ")</f>
        <v>2505</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308</v>
      </c>
      <c r="AJ16" s="245" t="str">
        <f>IF(ISNUMBER(Datos!BW16),Datos!BW16," - ")</f>
        <v xml:space="preserve"> - </v>
      </c>
      <c r="AK16" s="246" t="str">
        <f>IF(ISNUMBER(Datos!BX16),Datos!BX16," - ")</f>
        <v xml:space="preserve"> - </v>
      </c>
      <c r="AL16" s="266">
        <f>IF(ISNUMBER(NºAsuntos!G16/NºAsuntos!E16),NºAsuntos!G16/NºAsuntos!E16," - ")</f>
        <v>0.88825214899713467</v>
      </c>
      <c r="AM16" s="284">
        <f>IF(ISNUMBER(((NºAsuntos!I16/NºAsuntos!G16)*11)/factor_trimestre),((NºAsuntos!I16/NºAsuntos!G16)*11)/factor_trimestre," - ")</f>
        <v>2.1978494623655913</v>
      </c>
      <c r="AN16" s="267">
        <f>IF(ISNUMBER('Resol  Asuntos'!D16/NºAsuntos!G16),'Resol  Asuntos'!D16/NºAsuntos!G16," - ")</f>
        <v>0.16559139784946236</v>
      </c>
      <c r="AO16" s="268">
        <f>IF(ISNUMBER((NºAsuntos!C16+NºAsuntos!E16)/NºAsuntos!G16),(NºAsuntos!C16+NºAsuntos!E16)/NºAsuntos!G16," - ")</f>
        <v>2.096774193548387</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325</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182</v>
      </c>
      <c r="X18" s="240">
        <f>IF(ISNUMBER(Datos!Q18),Datos!Q18," - ")</f>
        <v>1</v>
      </c>
      <c r="Y18" s="374">
        <f t="shared" si="9"/>
        <v>183</v>
      </c>
      <c r="Z18" s="375" t="str">
        <f>IF(ISNUMBER(Datos!CC18),Datos!CC18," - ")</f>
        <v xml:space="preserve"> - </v>
      </c>
      <c r="AA18" s="372">
        <f>IF(ISNUMBER(Datos!L18),Datos!L18,"-")</f>
        <v>411</v>
      </c>
      <c r="AB18" s="374">
        <f>IF(ISNUMBER(Datos!R18),Datos!R18," - ")</f>
        <v>4</v>
      </c>
      <c r="AC18" s="374">
        <f t="shared" si="8"/>
        <v>415</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13</v>
      </c>
      <c r="AJ18" s="245" t="str">
        <f>IF(ISNUMBER(Datos!BW18),Datos!BW18," - ")</f>
        <v xml:space="preserve"> - </v>
      </c>
      <c r="AK18" s="246" t="str">
        <f>IF(ISNUMBER(Datos!BX18),Datos!BX18," - ")</f>
        <v xml:space="preserve"> - </v>
      </c>
      <c r="AL18" s="266">
        <f>IF(ISNUMBER(NºAsuntos!G18/NºAsuntos!E18),NºAsuntos!G18/NºAsuntos!E18," - ")</f>
        <v>0.67910447761194026</v>
      </c>
      <c r="AM18" s="284">
        <f>IF(ISNUMBER(((NºAsuntos!I18/NºAsuntos!G18)*11)/factor_trimestre),((NºAsuntos!I18/NºAsuntos!G18)*11)/factor_trimestre," - ")</f>
        <v>4.5164835164835164</v>
      </c>
      <c r="AN18" s="267">
        <f>IF(ISNUMBER('Resol  Asuntos'!D18/NºAsuntos!G18),'Resol  Asuntos'!D18/NºAsuntos!G18," - ")</f>
        <v>7.1428571428571425E-2</v>
      </c>
      <c r="AO18" s="268">
        <f>IF(ISNUMBER((NºAsuntos!C18+NºAsuntos!E18)/NºAsuntos!G18),(NºAsuntos!C18+NºAsuntos!E18)/NºAsuntos!G18," - ")</f>
        <v>3.2582417582417582</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4</v>
      </c>
      <c r="F23" s="1162">
        <f>SUBTOTAL(9,F15:F22)</f>
        <v>1810</v>
      </c>
      <c r="G23" s="1163">
        <f>SUBTOTAL(9,G16:G22)</f>
        <v>2131</v>
      </c>
      <c r="H23" s="1162">
        <f t="shared" ref="H23:O23" si="13">SUBTOTAL(9,H15:H22)</f>
        <v>0</v>
      </c>
      <c r="I23" s="1164">
        <f t="shared" si="13"/>
        <v>0</v>
      </c>
      <c r="J23" s="1164">
        <f t="shared" si="13"/>
        <v>0</v>
      </c>
      <c r="K23" s="1164">
        <f t="shared" si="13"/>
        <v>0</v>
      </c>
      <c r="L23" s="1164">
        <f t="shared" si="13"/>
        <v>212</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2042</v>
      </c>
      <c r="X23" s="1164">
        <f t="shared" si="14"/>
        <v>199</v>
      </c>
      <c r="Y23" s="1165">
        <f t="shared" si="14"/>
        <v>2043</v>
      </c>
      <c r="Z23" s="1165">
        <f t="shared" si="14"/>
        <v>0</v>
      </c>
      <c r="AA23" s="1165">
        <f t="shared" si="14"/>
        <v>2455</v>
      </c>
      <c r="AB23" s="1165">
        <f t="shared" si="14"/>
        <v>465</v>
      </c>
      <c r="AC23" s="1165">
        <f t="shared" si="14"/>
        <v>2920</v>
      </c>
      <c r="AD23" s="1165">
        <f t="shared" si="14"/>
        <v>0</v>
      </c>
      <c r="AE23" s="1169">
        <f t="shared" si="14"/>
        <v>0</v>
      </c>
      <c r="AF23" s="1162">
        <f t="shared" si="14"/>
        <v>0</v>
      </c>
      <c r="AG23" s="1170">
        <f t="shared" si="14"/>
        <v>0</v>
      </c>
      <c r="AH23" s="1167">
        <f t="shared" si="14"/>
        <v>0</v>
      </c>
      <c r="AI23" s="1162">
        <f t="shared" si="14"/>
        <v>321</v>
      </c>
      <c r="AJ23" s="1164">
        <f t="shared" si="14"/>
        <v>0</v>
      </c>
      <c r="AK23" s="1167">
        <f t="shared" si="14"/>
        <v>0</v>
      </c>
      <c r="AL23" s="1171">
        <f>IF(ISNUMBER(NºAsuntos!G23/NºAsuntos!E23),NºAsuntos!G23/NºAsuntos!E23," - ")</f>
        <v>0.86452159187129551</v>
      </c>
      <c r="AM23" s="1171">
        <f>IF(ISNUMBER(((NºAsuntos!I23/NºAsuntos!G23)*11)/factor_trimestre),((NºAsuntos!I23/NºAsuntos!G23)*11)/factor_trimestre," - ")</f>
        <v>2.4045053868756123</v>
      </c>
      <c r="AN23" s="1172">
        <f>IF(ISNUMBER('Resol  Asuntos'!D23/NºAsuntos!G23),'Resol  Asuntos'!D23/NºAsuntos!G23," - ")</f>
        <v>0.15719882468168461</v>
      </c>
      <c r="AO23" s="1173">
        <f>IF(ISNUMBER((NºAsuntos!C23+NºAsuntos!E23)/NºAsuntos!G23),(NºAsuntos!C23+NºAsuntos!E23)/NºAsuntos!G23," - ")</f>
        <v>2.2002938295788441</v>
      </c>
      <c r="AP23" s="1174" t="str">
        <f t="shared" si="2"/>
        <v xml:space="preserve"> - </v>
      </c>
      <c r="AQ23" s="1174">
        <f>IF(ISNUMBER((H23-W23+K23)/(F23)),(H23-W23+K23)/(F23)," - ")</f>
        <v>-1.1281767955801105</v>
      </c>
      <c r="AR23" s="1175">
        <f>IF(ISNUMBER((Datos!P23-Datos!Q23)/(Datos!R23-Datos!P23+Datos!Q23)),(Datos!P23-Datos!Q23)/(Datos!R23-Datos!P23+Datos!Q23)," - ")</f>
        <v>2.8761061946902654E-2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11</v>
      </c>
      <c r="F31" s="1117">
        <f t="shared" si="20"/>
        <v>1869</v>
      </c>
      <c r="G31" s="1118">
        <f t="shared" si="20"/>
        <v>2190</v>
      </c>
      <c r="H31" s="1117">
        <f t="shared" si="20"/>
        <v>0</v>
      </c>
      <c r="I31" s="1119">
        <f t="shared" si="20"/>
        <v>0</v>
      </c>
      <c r="J31" s="1119">
        <f t="shared" si="20"/>
        <v>0</v>
      </c>
      <c r="K31" s="1180">
        <f t="shared" si="20"/>
        <v>0</v>
      </c>
      <c r="L31" s="1119">
        <f t="shared" si="20"/>
        <v>796</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2067</v>
      </c>
      <c r="X31" s="1118">
        <f t="shared" si="21"/>
        <v>1164</v>
      </c>
      <c r="Y31" s="1125">
        <f t="shared" si="21"/>
        <v>3033</v>
      </c>
      <c r="Z31" s="1125">
        <f t="shared" si="21"/>
        <v>0</v>
      </c>
      <c r="AA31" s="1125">
        <f t="shared" si="21"/>
        <v>2545</v>
      </c>
      <c r="AB31" s="1125">
        <f t="shared" si="21"/>
        <v>9323</v>
      </c>
      <c r="AC31" s="1125">
        <f t="shared" si="21"/>
        <v>3083</v>
      </c>
      <c r="AD31" s="1125">
        <f t="shared" si="21"/>
        <v>0</v>
      </c>
      <c r="AE31" s="1127">
        <f t="shared" si="21"/>
        <v>0</v>
      </c>
      <c r="AF31" s="1128">
        <f t="shared" si="21"/>
        <v>0</v>
      </c>
      <c r="AG31" s="1129">
        <f t="shared" si="21"/>
        <v>0</v>
      </c>
      <c r="AH31" s="1127">
        <f t="shared" si="21"/>
        <v>0</v>
      </c>
      <c r="AI31" s="1117">
        <f t="shared" si="21"/>
        <v>626</v>
      </c>
      <c r="AJ31" s="1117">
        <f t="shared" si="21"/>
        <v>0</v>
      </c>
      <c r="AK31" s="1127">
        <f t="shared" si="21"/>
        <v>0</v>
      </c>
      <c r="AL31" s="1183">
        <f>IF(ISNUMBER(NºAsuntos!G31/NºAsuntos!E31),NºAsuntos!G31/NºAsuntos!E31," - ")</f>
        <v>0.83433091064557507</v>
      </c>
      <c r="AM31" s="1184">
        <f>IF(ISNUMBER(((NºAsuntos!I31/NºAsuntos!G31)*11)/factor_trimestre),((NºAsuntos!I31/NºAsuntos!G31)*11)/factor_trimestre," - ")</f>
        <v>3.5465026902382779</v>
      </c>
      <c r="AN31" s="1184">
        <f>IF(ISNUMBER('Resol  Asuntos'!D31/NºAsuntos!G31),'Resol  Asuntos'!D31/NºAsuntos!G31," - ")</f>
        <v>0.1603894440174225</v>
      </c>
      <c r="AO31" s="1185">
        <f>IF(ISNUMBER((NºAsuntos!C31+NºAsuntos!E31)/NºAsuntos!G31),(NºAsuntos!C31+NºAsuntos!E31)/NºAsuntos!G31," - ")</f>
        <v>2.7245708429413273</v>
      </c>
      <c r="AP31" s="1186" t="str">
        <f t="shared" si="2"/>
        <v xml:space="preserve"> - </v>
      </c>
      <c r="AQ31" s="1187">
        <f>IF(OR(ISNUMBER(FIND("01",Criterios!A8,1)),ISNUMBER(FIND("02",Criterios!A8,1)),ISNUMBER(FIND("03",Criterios!A8,1)),ISNUMBER(FIND("04",Criterios!A8,1))),(I31-W31+K31)/(F31-K31),(H31-W31+K31)/(F31-K31))</f>
        <v>-1.1059390048154094</v>
      </c>
      <c r="AR31" s="1188">
        <f>IF(ISNUMBER((Datos!P31-Datos!Q31)/(Datos!R31-Datos!P31+Datos!Q31)),(Datos!P31-Datos!Q31)/(Datos!R31-Datos!P31+Datos!Q31)," - ")</f>
        <v>-3.7973377360437523E-2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625.71428571428567</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2.1924911730403043</v>
      </c>
      <c r="F33" s="276">
        <f>IF(ISNUMBER(STDEV(F8:F30)),STDEV(F8:F30),"-")</f>
        <v>919.82476592011801</v>
      </c>
      <c r="G33" s="277">
        <f>IF(ISNUMBER(STDEV(G8:G30)),STDEV(G8:G30),"-")</f>
        <v>928.68683531922545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932.94477456114862</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162.91014175217663</v>
      </c>
      <c r="AJ33" s="276">
        <f t="shared" si="25"/>
        <v>0</v>
      </c>
      <c r="AK33" s="278">
        <f t="shared" si="25"/>
        <v>0</v>
      </c>
      <c r="AL33" s="273">
        <f t="shared" si="25"/>
        <v>0.16502371496389165</v>
      </c>
      <c r="AM33" s="274">
        <f t="shared" si="25"/>
        <v>1.8403880468615856</v>
      </c>
      <c r="AN33" s="274">
        <f t="shared" si="25"/>
        <v>3.7153892732121857E-2</v>
      </c>
      <c r="AO33" s="275">
        <f t="shared" si="25"/>
        <v>0.91224352700303279</v>
      </c>
      <c r="AP33" s="317" t="str">
        <f t="shared" si="25"/>
        <v>-</v>
      </c>
      <c r="AQ33" s="318">
        <f t="shared" si="25"/>
        <v>0.49811994508007884</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FFM6PG8wyKshtpGLJrULLO2HZTA37qqEyugV06iC13tmdHZjP1iWX8Ke6uAkLLEEOSPZWHz42z2p15Zm23U/Kg==" saltValue="VQIz4o326JG9/psjHG0c/A=="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COMUNIDAD VALENCIANA</v>
      </c>
      <c r="E2" s="287"/>
    </row>
    <row r="3" spans="2:20" ht="17.25" customHeight="1">
      <c r="C3" s="291"/>
      <c r="D3" s="286" t="str">
        <f>Criterios!A10 &amp;"  "&amp;Criterios!B10</f>
        <v>Provincias  VALENCIA</v>
      </c>
      <c r="E3" s="287"/>
    </row>
    <row r="4" spans="2:20" ht="17.25" customHeight="1" thickBot="1">
      <c r="D4" s="286" t="str">
        <f>Criterios!A11 &amp;"  "&amp;Criterios!B11</f>
        <v>Resumenes por Partidos Judiciales  TORRENT</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-5.3459119496855348E-2</v>
      </c>
      <c r="I9" s="395">
        <f>IF(ISNUMBER((Tasas!C9-Datos!BE9)/Datos!BE9),(Tasas!C9-Datos!BE9)/Datos!BE9," - ")</f>
        <v>-8.8594629771101604E-3</v>
      </c>
      <c r="J9" s="394">
        <f>IF(ISNUMBER((Tasas!D9-Datos!BF9)/Datos!BF9),(Tasas!D9-Datos!BF9)/Datos!BF9," - ")</f>
        <v>-0.54667821839923836</v>
      </c>
      <c r="K9" s="396">
        <f>IF(ISNUMBER((Tasas!E9-Datos!BG9)/Datos!BG9),(Tasas!E9-Datos!BG9)/Datos!BG9," - ")</f>
        <v>-3.6365623128441202E-2</v>
      </c>
      <c r="M9" t="e">
        <f>IF(Monitorios="SI",Datos!CE9,0)</f>
        <v>#REF!</v>
      </c>
      <c r="N9" t="e">
        <f>IF(Monitorios="SI",Datos!CF9,0)</f>
        <v>#REF!</v>
      </c>
      <c r="O9" t="e">
        <f>IF(Monitorios="SI",Datos!CG9,0)</f>
        <v>#REF!</v>
      </c>
      <c r="P9" t="e">
        <f>IF(Monitorios="SI",Datos!CH9,0)</f>
        <v>#REF!</v>
      </c>
      <c r="Q9">
        <f>IF(J_V="SI",0,Datos!AG9)</f>
        <v>282</v>
      </c>
      <c r="R9">
        <f>IF(J_V="SI",0,Datos!AH9)</f>
        <v>218</v>
      </c>
      <c r="S9">
        <f>IF(J_V="SI",0,Datos!AI9)</f>
        <v>212</v>
      </c>
      <c r="T9">
        <f>IF(J_V="SI",0,Datos!AJ9)</f>
        <v>288</v>
      </c>
    </row>
    <row r="10" spans="2:20" ht="14.25">
      <c r="B10" s="300" t="s">
        <v>321</v>
      </c>
      <c r="C10" s="7" t="str">
        <f>Datos!A10</f>
        <v>Jdos. Violencia contra la mujer</v>
      </c>
      <c r="D10" s="397">
        <f>IF(ISNUMBER((Datos!I10-Datos!S10)/Datos!S10),(Datos!I10-Datos!S10)/Datos!S10," - ")</f>
        <v>-0.26250000000000001</v>
      </c>
      <c r="E10" s="393">
        <f>IF(ISNUMBER((Datos!J10-Datos!T10)/Datos!T10),(Datos!J10-Datos!T10)/Datos!T10," - ")</f>
        <v>0.24444444444444444</v>
      </c>
      <c r="F10" s="393">
        <f>IF(ISNUMBER((Datos!K10-Datos!U10)/Datos!U10),(Datos!K10-Datos!U10)/Datos!U10," - ")</f>
        <v>-0.32432432432432434</v>
      </c>
      <c r="G10" s="394">
        <f>IF(ISNUMBER((Datos!L10-Datos!V10)/Datos!V10),(Datos!L10-Datos!V10)/Datos!V10," - ")</f>
        <v>2.2727272727272728E-2</v>
      </c>
      <c r="H10" s="244">
        <f>IF(ISNUMBER((Datos!M10-Datos!W10)/Datos!W10),(Datos!M10-Datos!W10)/Datos!W10," - ")</f>
        <v>-0.69230769230769229</v>
      </c>
      <c r="I10" s="395">
        <f>IF(ISNUMBER((Tasas!C10-Datos!BE10)/Datos!BE10),(Tasas!C10-Datos!BE10)/Datos!BE10," - ")</f>
        <v>0.51363636363636356</v>
      </c>
      <c r="J10" s="394">
        <f>IF(ISNUMBER((Tasas!D10-Datos!BF10)/Datos!BF10),(Tasas!D10-Datos!BF10)/Datos!BF10," - ")</f>
        <v>-0.54461538461538461</v>
      </c>
      <c r="K10" s="396">
        <f>IF(ISNUMBER((Tasas!E10-Datos!BG10)/Datos!BG10),(Tasas!E10-Datos!BG10)/Datos!BG10," - ")</f>
        <v>0.36159999999999987</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-7.8549848942598186E-2</v>
      </c>
      <c r="I14" s="402">
        <f>IF(ISNUMBER((Tasas!C14-Datos!BE14)/Datos!BE14),(Tasas!C14-Datos!BE14)/Datos!BE14," - ")</f>
        <v>-1.816167795892792E-3</v>
      </c>
      <c r="J14" s="400">
        <f>IF(ISNUMBER((Tasas!D14-Datos!BF14)/Datos!BF14),(Tasas!D14-Datos!BF14)/Datos!BF14," - ")</f>
        <v>-0.54653303222620797</v>
      </c>
      <c r="K14" s="403">
        <f>IF(ISNUMBER((Tasas!E14-Datos!BG14)/Datos!BG14),(Tasas!E14-Datos!BG14)/Datos!BG14," - ")</f>
        <v>-3.0990328358760984E-2</v>
      </c>
      <c r="M14" t="e">
        <f>IF(Monitorios="SI",Datos!CE14,0)</f>
        <v>#REF!</v>
      </c>
      <c r="N14" t="e">
        <f>IF(Monitorios="SI",Datos!CF14,0)</f>
        <v>#REF!</v>
      </c>
      <c r="O14" t="e">
        <f>IF(Monitorios="SI",Datos!CG14,0)</f>
        <v>#REF!</v>
      </c>
      <c r="P14" t="e">
        <f>IF(Monitorios="SI",Datos!CH14,0)</f>
        <v>#REF!</v>
      </c>
      <c r="Q14">
        <f>IF(J_V="SI",0,Datos!AG14)</f>
        <v>282</v>
      </c>
      <c r="R14">
        <f>IF(J_V="SI",0,Datos!AH14)</f>
        <v>218</v>
      </c>
      <c r="S14">
        <f>IF(J_V="SI",0,Datos!AI14)</f>
        <v>212</v>
      </c>
      <c r="T14">
        <f>IF(J_V="SI",0,Datos!AJ14)</f>
        <v>288</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f>IF(ISNUMBER(
   IF(D_I="SI",(Datos!I16-Datos!S16)/Datos!S16,(Datos!I16+Datos!AC16-(Datos!S16+Datos!AK16))/(Datos!S16+Datos!AK16))
     ),IF(D_I="SI",(Datos!I16-Datos!S16)/Datos!S16,(Datos!I16+Datos!AC16-(Datos!S16+Datos!AK16))/(Datos!S16+Datos!AK16))," - ")</f>
        <v>4.6956521739130432E-2</v>
      </c>
      <c r="E16" s="393">
        <f>IF(ISNUMBER(
   IF(D_I="SI",(Datos!J16-Datos!T16)/Datos!T16,(Datos!J16+Datos!AD16-(Datos!T16+Datos!AL16))/(Datos!T16+Datos!AL16))
     ),IF(D_I="SI",(Datos!J16-Datos!T16)/Datos!T16,(Datos!J16+Datos!AD16-(Datos!T16+Datos!AL16))/(Datos!T16+Datos!AL16))," - ")</f>
        <v>7.3295745771399287E-2</v>
      </c>
      <c r="F16" s="393">
        <f>IF(ISNUMBER(
   IF(D_I="SI",(Datos!K16-Datos!U16)/Datos!U16,(Datos!K16+Datos!AE16-(Datos!U16+Datos!AM16))/(Datos!U16+Datos!AM16))
     ),IF(D_I="SI",(Datos!K16-Datos!U16)/Datos!U16,(Datos!K16+Datos!AE16-(Datos!U16+Datos!AM16))/(Datos!U16+Datos!AM16))," - ")</f>
        <v>3.1613976705490848E-2</v>
      </c>
      <c r="G16" s="394">
        <f>IF(ISNUMBER(
   IF(D_I="SI",(Datos!L16-Datos!V16)/Datos!V16,(Datos!L16+Datos!AF16-(Datos!V16+Datos!AN16))/(Datos!V16+Datos!AN16))
     ),IF(D_I="SI",(Datos!L16-Datos!V16)/Datos!V16,(Datos!L16+Datos!AF16-(Datos!V16+Datos!AN16))/(Datos!V16+Datos!AN16))," - ")</f>
        <v>9.0715048025613657E-2</v>
      </c>
      <c r="H16" s="244">
        <f>IF(ISNUMBER((Datos!M16-Datos!W16)/Datos!W16),(Datos!M16-Datos!W16)/Datos!W16," - ")</f>
        <v>0.15789473684210525</v>
      </c>
      <c r="I16" s="395">
        <f>IF(ISNUMBER((Tasas!C16-Datos!BE16)/Datos!BE16),(Tasas!C16-Datos!BE16)/Datos!BE16," - ")</f>
        <v>5.7289909457086785E-2</v>
      </c>
      <c r="J16" s="394">
        <f>IF(ISNUMBER((Tasas!D16-Datos!BF16)/Datos!BF16),(Tasas!D16-Datos!BF16)/Datos!BF16," - ")</f>
        <v>0.12241086587436326</v>
      </c>
      <c r="K16" s="396">
        <f>IF(ISNUMBER((Tasas!E16-Datos!BG16)/Datos!BG16),(Tasas!E16-Datos!BG16)/Datos!BG16," - ")</f>
        <v>2.8423251079363939E-2</v>
      </c>
    </row>
    <row r="17" spans="2:20" ht="14.25">
      <c r="B17" s="300" t="s">
        <v>511</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9.0604026845637578E-2</v>
      </c>
      <c r="E18" s="393">
        <f>IF(ISNUMBER(
   IF(D_I="SI",(Datos!J18-Datos!T18)/Datos!T18,(Datos!J18+Datos!AD18-(Datos!T18+Datos!AL18))/(Datos!T18+Datos!AL18))
     ),IF(D_I="SI",(Datos!J18-Datos!T18)/Datos!T18,(Datos!J18+Datos!AD18-(Datos!T18+Datos!AL18))/(Datos!T18+Datos!AL18))," - ")</f>
        <v>-2.8985507246376812E-2</v>
      </c>
      <c r="F18" s="393">
        <f>IF(ISNUMBER(
   IF(D_I="SI",(Datos!K18-Datos!U18)/Datos!U18,(Datos!K18+Datos!AE18-(Datos!U18+Datos!AM18))/(Datos!U18+Datos!AM18))
     ),IF(D_I="SI",(Datos!K18-Datos!U18)/Datos!U18,(Datos!K18+Datos!AE18-(Datos!U18+Datos!AM18))/(Datos!U18+Datos!AM18))," - ")</f>
        <v>-0.22553191489361701</v>
      </c>
      <c r="G18" s="394">
        <f>IF(ISNUMBER(
   IF(D_I="SI",(Datos!L18-Datos!V18)/Datos!V18,(Datos!L18+Datos!AF18-(Datos!V18+Datos!AN18))/(Datos!V18+Datos!AN18))
     ),IF(D_I="SI",(Datos!L18-Datos!V18)/Datos!V18,(Datos!L18+Datos!AF18-(Datos!V18+Datos!AN18))/(Datos!V18+Datos!AN18))," - ")</f>
        <v>0.21238938053097345</v>
      </c>
      <c r="H18" s="244">
        <f>IF(ISNUMBER((Datos!M18-Datos!W18)/Datos!W18),(Datos!M18-Datos!W18)/Datos!W18," - ")</f>
        <v>8.3333333333333329E-2</v>
      </c>
      <c r="I18" s="395">
        <f>IF(ISNUMBER((Tasas!C18-Datos!BE18)/Datos!BE18),(Tasas!C18-Datos!BE18)/Datos!BE18," - ")</f>
        <v>0.56544782650977343</v>
      </c>
      <c r="J18" s="394">
        <f>IF(ISNUMBER((Tasas!D18-Datos!BF18)/Datos!BF18),(Tasas!D18-Datos!BF18)/Datos!BF18," - ")</f>
        <v>0.39880952380952378</v>
      </c>
      <c r="K18" s="396">
        <f>IF(ISNUMBER((Tasas!E18-Datos!BG18)/Datos!BG18),(Tasas!E18-Datos!BG18)/Datos!BG18," - ")</f>
        <v>0.33394915189340263</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5.3386060306475532E-2</v>
      </c>
      <c r="E23" s="399">
        <f>IF(ISNUMBER(
   IF(D_I="SI",(Datos!J23-Datos!T23)/Datos!T23,(Datos!J23+Datos!AD23-(Datos!T23+Datos!AL23))/(Datos!T23+Datos!AL23))
     ),IF(D_I="SI",(Datos!J23-Datos!T23)/Datos!T23,(Datos!J23+Datos!AD23-(Datos!T23+Datos!AL23))/(Datos!T23+Datos!AL23))," - ")</f>
        <v>6.0619667714414009E-2</v>
      </c>
      <c r="F23" s="399">
        <f>IF(ISNUMBER(
   IF(D_I="SI",(Datos!K23-Datos!U23)/Datos!U23,(Datos!K23+Datos!AE23-(Datos!U23+Datos!AM23))/(Datos!U23+Datos!AM23))
     ),IF(D_I="SI",(Datos!K23-Datos!U23)/Datos!U23,(Datos!K23+Datos!AE23-(Datos!U23+Datos!AM23))/(Datos!U23+Datos!AM23))," - ")</f>
        <v>1.9627085377821392E-3</v>
      </c>
      <c r="G23" s="400">
        <f>IF(ISNUMBER(
   IF(D_I="SI",(Datos!L23-Datos!V23)/Datos!V23,(Datos!L23+Datos!AF23-(Datos!V23+Datos!AN23))/(Datos!V23+Datos!AN23))
     ),IF(D_I="SI",(Datos!L23-Datos!V23)/Datos!V23,(Datos!L23+Datos!AF23-(Datos!V23+Datos!AN23))/(Datos!V23+Datos!AN23))," - ")</f>
        <v>0.10935381834613647</v>
      </c>
      <c r="H23" s="401">
        <f>IF(ISNUMBER((Datos!M23-Datos!W23)/Datos!W23),(Datos!M23-Datos!W23)/Datos!W23," - ")</f>
        <v>0.15467625899280577</v>
      </c>
      <c r="I23" s="402">
        <f>IF(ISNUMBER((Tasas!C23-Datos!BE23)/Datos!BE23),(Tasas!C23-Datos!BE23)/Datos!BE23," - ")</f>
        <v>0.1071807452445771</v>
      </c>
      <c r="J23" s="400">
        <f>IF(ISNUMBER((Tasas!D23-Datos!BF23)/Datos!BF23),(Tasas!D23-Datos!BF23)/Datos!BF23," - ")</f>
        <v>0.15241440540026341</v>
      </c>
      <c r="K23" s="403">
        <f>IF(ISNUMBER((Tasas!E23-Datos!BG23)/Datos!BG23),(Tasas!E23-Datos!BG23)/Datos!BG23," - ")</f>
        <v>5.5105605807455042E-2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2.0911895783339046E-2</v>
      </c>
      <c r="E31" s="409">
        <f>IF(ISNUMBER(
   IF(J_V="SI",(Datos!J31-Datos!T31)/Datos!T31,(Datos!J31+Datos!Z31-(Datos!T31+Datos!AH31))/(Datos!T31+Datos!AH31))
     ),IF(J_V="SI",(Datos!J31-Datos!T31)/Datos!T31,(Datos!J31+Datos!Z31-(Datos!T31+Datos!AH31))/(Datos!T31+Datos!AH31))," - ")</f>
        <v>0.17125688532799199</v>
      </c>
      <c r="F31" s="409">
        <f>IF(ISNUMBER(
   IF(J_V="SI",(Datos!K31-Datos!U31)/Datos!U31,(Datos!K31+Datos!AA31-(Datos!U31+Datos!AI31))/(Datos!U31+Datos!AI31))
     ),IF(J_V="SI",(Datos!K31-Datos!U31)/Datos!U31,(Datos!K31+Datos!AA31-(Datos!U31+Datos!AI31))/(Datos!U31+Datos!AI31))," - ")</f>
        <v>6.1751904243743203E-2</v>
      </c>
      <c r="G31" s="410">
        <f>IF(ISNUMBER(
   IF(J_V="SI",(Datos!L31-Datos!V31)/Datos!V31,(Datos!L31+Datos!AB31-(Datos!V31+Datos!AJ31))/(Datos!V31+Datos!AJ31))
     ),IF(J_V="SI",(Datos!L31-Datos!V31)/Datos!V31,(Datos!L31+Datos!AB31-(Datos!V31+Datos!AJ31))/(Datos!V31+Datos!AJ31))," - ")</f>
        <v>0.12518289708990407</v>
      </c>
      <c r="H31" s="411">
        <f>IF(ISNUMBER((Datos!M31-Datos!W31)/Datos!W31),(Datos!M31-Datos!W31)/Datos!W31," - ")</f>
        <v>2.7914614121510674E-2</v>
      </c>
      <c r="I31" s="408">
        <f>IF(ISNUMBER((Tasas!C31-Datos!BE31)/Datos!BE31),(Tasas!C31-Datos!BE31)/Datos!BE31," - ")</f>
        <v>5.9741821599407517E-2</v>
      </c>
      <c r="J31" s="409">
        <f>IF(ISNUMBER((Tasas!D31-Datos!BF31)/Datos!BF31),(Tasas!D31-Datos!BF31)/Datos!BF31," - ")</f>
        <v>-0.32230851010569528</v>
      </c>
      <c r="K31" s="410">
        <f>IF(ISNUMBER((Tasas!E31-Datos!BG31)/Datos!BG31),(Tasas!E31-Datos!BG31)/Datos!BG31," - ")</f>
        <v>1.9080425178298673E-2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0.16420551564501767</v>
      </c>
      <c r="E33" s="303">
        <f t="shared" si="1"/>
        <v>0.1141996019886943</v>
      </c>
      <c r="F33" s="303">
        <f t="shared" si="1"/>
        <v>0.17360689624251702</v>
      </c>
      <c r="G33" s="304">
        <f t="shared" si="1"/>
        <v>7.8457305351832818E-2</v>
      </c>
      <c r="H33" s="310">
        <f t="shared" si="1"/>
        <v>0.32047724210706952</v>
      </c>
      <c r="I33" s="302">
        <f t="shared" si="1"/>
        <v>0.26270642685873574</v>
      </c>
      <c r="J33" s="303">
        <f t="shared" si="1"/>
        <v>0.43277722602920177</v>
      </c>
      <c r="K33" s="304">
        <f t="shared" si="1"/>
        <v>0.18109624489097081</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mZaoWRp8rQiEXP8vhzfJxVKakWwiNlwBha1a1IFoedill1D1n2k+WCWj519nVjjBJ8Xc8GTTNMJ6Vhh+d0pqaw==" saltValue="12/yxD+DTCEB/4XaS9w/q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2023-05-06T01:39:28Z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